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145" windowHeight="11655" tabRatio="807" activeTab="2"/>
  </bookViews>
  <sheets>
    <sheet name="CFRP YR 1" sheetId="1" r:id="rId1"/>
    <sheet name="CFRP YR 2" sheetId="2" r:id="rId2"/>
    <sheet name="CFRP YR 3" sheetId="3" r:id="rId3"/>
    <sheet name="TOTAL" sheetId="4" r:id="rId4"/>
    <sheet name="budget summary" sheetId="5" r:id="rId5"/>
  </sheets>
  <definedNames/>
  <calcPr fullCalcOnLoad="1"/>
</workbook>
</file>

<file path=xl/sharedStrings.xml><?xml version="1.0" encoding="utf-8"?>
<sst xmlns="http://schemas.openxmlformats.org/spreadsheetml/2006/main" count="395" uniqueCount="139">
  <si>
    <t>CFRP Budget</t>
  </si>
  <si>
    <t>Year  1</t>
  </si>
  <si>
    <t>A. Personnel</t>
  </si>
  <si>
    <t>Name/Position</t>
  </si>
  <si>
    <t>Computation</t>
  </si>
  <si>
    <t>Federal</t>
  </si>
  <si>
    <t>Non-fed</t>
  </si>
  <si>
    <t>Total</t>
  </si>
  <si>
    <t>Director</t>
  </si>
  <si>
    <t>Subtotal</t>
  </si>
  <si>
    <t>B. Fringe Benefits</t>
  </si>
  <si>
    <t>C. Travel</t>
  </si>
  <si>
    <t>Purpose/Location/Item</t>
  </si>
  <si>
    <t>Vehicle rental and mileage/fuel (field work, meetings, CFRP Annual Workshop)</t>
  </si>
  <si>
    <t>Travel expenses (per diem + lodging) for meetings, CFRP Annual Workshop</t>
  </si>
  <si>
    <t>D. Equipment</t>
  </si>
  <si>
    <t>We will not purchase any equipment with this project</t>
  </si>
  <si>
    <t>E. Supplies</t>
  </si>
  <si>
    <t>Supply items</t>
  </si>
  <si>
    <t>$50 X 1</t>
  </si>
  <si>
    <t>$100 set X 2</t>
  </si>
  <si>
    <t>Lab supplies</t>
  </si>
  <si>
    <t>software</t>
  </si>
  <si>
    <t>$150 X 2</t>
  </si>
  <si>
    <t>Telepone, fax ($/mo)</t>
  </si>
  <si>
    <t>mail, shipping ($/mo)</t>
  </si>
  <si>
    <t>$10 X 12</t>
  </si>
  <si>
    <t>photocopying ($/mo)</t>
  </si>
  <si>
    <t>printing supplies ($/mo)</t>
  </si>
  <si>
    <t>consumable supplies</t>
  </si>
  <si>
    <t>Field crew meals</t>
  </si>
  <si>
    <t>F. Consultants/contracts</t>
  </si>
  <si>
    <t>G. Other costs</t>
  </si>
  <si>
    <t>H. Indirect costs</t>
  </si>
  <si>
    <t>-------------</t>
  </si>
  <si>
    <t>-----------</t>
  </si>
  <si>
    <t>Total indirect costs</t>
  </si>
  <si>
    <t>TOTAL Year One:</t>
  </si>
  <si>
    <t>TOTAL:</t>
  </si>
  <si>
    <t>Flights for meetings, including Annual CFRP Workshop</t>
  </si>
  <si>
    <t>Field supplies</t>
  </si>
  <si>
    <t>---------</t>
  </si>
  <si>
    <t>Contributed by UofA</t>
  </si>
  <si>
    <t>Recoverred by UofA</t>
  </si>
  <si>
    <t>Recovered by UofA</t>
  </si>
  <si>
    <t>Item</t>
  </si>
  <si>
    <t>Total direct costs</t>
  </si>
  <si>
    <t>Budget category</t>
  </si>
  <si>
    <t>Federal amount</t>
  </si>
  <si>
    <t>Non federal amount</t>
  </si>
  <si>
    <t>Total Direct Costs</t>
  </si>
  <si>
    <t>H. Indirect Costs</t>
  </si>
  <si>
    <t>Total Project Costs</t>
  </si>
  <si>
    <t>Federal Request</t>
  </si>
  <si>
    <t>Non-federal amount</t>
  </si>
  <si>
    <t>Total Project Cost</t>
  </si>
  <si>
    <t>10% of total costs</t>
  </si>
  <si>
    <t>Misc supplies</t>
  </si>
  <si>
    <t>Misc. supplies</t>
  </si>
  <si>
    <t>6 months (50%) X $60,000 salary</t>
  </si>
  <si>
    <t>31.2% X $30,000</t>
  </si>
  <si>
    <t>Jan 2014-Dec 2014</t>
  </si>
  <si>
    <t>2 flight X $250/flight</t>
  </si>
  <si>
    <t>$5 X 12</t>
  </si>
  <si>
    <t>Sedan $30/day, $0.14/mi.X 8 days,480mi; Mileage reimburse 1021 mi X $0.445/mi</t>
  </si>
  <si>
    <t>Vehicle rental and mileage/fuel (site visit, meetings, CFRP Annual Workshop)</t>
  </si>
  <si>
    <t>31.2% X $15,000</t>
  </si>
  <si>
    <t>31.2% X $20,000</t>
  </si>
  <si>
    <t>2 monitoring crew members</t>
  </si>
  <si>
    <t>Travel expenses (per diem + lodging) for CFRP Annual Workshop, collaborator meetings</t>
  </si>
  <si>
    <t>3 months (25%) X $60,000 salary</t>
  </si>
  <si>
    <t>Director &amp; monitoring lead</t>
  </si>
  <si>
    <t>Vehicle rental and mileage/fuel (monitoring, site visit, meetings, CFRP Annual Workshop)</t>
  </si>
  <si>
    <t>$300/acre X 150 acres</t>
  </si>
  <si>
    <t>4days @ $120, CFRP annual meeting;  4 days @ $100, SFNF meetings</t>
  </si>
  <si>
    <t>Measuring tapes set (open reel, dbh, &amp; staight measuring tapes)</t>
  </si>
  <si>
    <t>$275/acre X 125 acres</t>
  </si>
  <si>
    <t>Director, monitoring, education/outreach</t>
  </si>
  <si>
    <t>$10/hr X 120hrs X 2 pers</t>
  </si>
  <si>
    <t>Director, monitoring, education/ outreach</t>
  </si>
  <si>
    <t>Jan 2015-Dec 2015</t>
  </si>
  <si>
    <t>Year  2</t>
  </si>
  <si>
    <t>Jan 2016-Dec 2016</t>
  </si>
  <si>
    <t>Year 3</t>
  </si>
  <si>
    <t>$300/acre X 160 acres</t>
  </si>
  <si>
    <t>12months (1.0) X $60,000 salary spread over 3 years</t>
  </si>
  <si>
    <t>31.2% X $60,000</t>
  </si>
  <si>
    <t>1 flight X $250/flight</t>
  </si>
  <si>
    <t>------------</t>
  </si>
  <si>
    <t>% of direct cost contributed by UofA</t>
  </si>
  <si>
    <t>% of total cost contributed</t>
  </si>
  <si>
    <t>% of total cost contributed by UofA</t>
  </si>
  <si>
    <t>10% of total costs (11.11% of total direct cost)</t>
  </si>
  <si>
    <t>Jan 2014 - Dec 2016</t>
  </si>
  <si>
    <t>TOTAL Year Three:</t>
  </si>
  <si>
    <t>TOTAL Year Two:</t>
  </si>
  <si>
    <t>see annual budgets for details</t>
  </si>
  <si>
    <t>12days @ $120, 3 CFRP annual meetings; 12days @ $100, SFNF meetings</t>
  </si>
  <si>
    <t>Sub-award</t>
  </si>
  <si>
    <t>F. Contracts</t>
  </si>
  <si>
    <t>G. Other (sub-awards)</t>
  </si>
  <si>
    <t>18.81% of total cost (26.12% of total direct cost)</t>
  </si>
  <si>
    <t>sub-award: Ecotone</t>
  </si>
  <si>
    <t>sub-award: Sierra Club</t>
  </si>
  <si>
    <t>sub-award: Forest Guild</t>
  </si>
  <si>
    <t>sub-award: Thinning opertor (Caro's)</t>
  </si>
  <si>
    <t>2 flights X $250/flight</t>
  </si>
  <si>
    <t>Field crew meals (14 days @ $20/person/day X 4 persons)</t>
  </si>
  <si>
    <t>5 flights X $250/flight</t>
  </si>
  <si>
    <t>(28 days @ $20/person/day X 4 persons)</t>
  </si>
  <si>
    <t>12% X $2400</t>
  </si>
  <si>
    <t>sub-award: Thinning contractor (Caro's)</t>
  </si>
  <si>
    <t>sub-award: Mastication opertor (NE Constr.)</t>
  </si>
  <si>
    <t>Field vehicle $58.50/day,$0.24/mi. X 14 days, 2042mi;  Sedan $30/day, $0.14/mi.X 8 days,480mi</t>
  </si>
  <si>
    <r>
      <rPr>
        <u val="single"/>
        <sz val="11"/>
        <color indexed="8"/>
        <rFont val="Calibri"/>
        <family val="2"/>
      </rPr>
      <t xml:space="preserve">Cost: </t>
    </r>
    <r>
      <rPr>
        <sz val="11"/>
        <color indexed="8"/>
        <rFont val="Calibri"/>
        <family val="2"/>
      </rPr>
      <t xml:space="preserve">150 miles X $0.445/mile + meeting space $500: </t>
    </r>
    <r>
      <rPr>
        <u val="single"/>
        <sz val="11"/>
        <color indexed="8"/>
        <rFont val="Calibri"/>
        <family val="2"/>
      </rPr>
      <t>Contributed</t>
    </r>
    <r>
      <rPr>
        <sz val="11"/>
        <color indexed="8"/>
        <rFont val="Calibri"/>
        <family val="2"/>
      </rPr>
      <t xml:space="preserve"> - 120 hrs X $20/hr</t>
    </r>
  </si>
  <si>
    <r>
      <rPr>
        <u val="single"/>
        <sz val="11"/>
        <color indexed="8"/>
        <rFont val="Calibri"/>
        <family val="2"/>
      </rPr>
      <t>Cost</t>
    </r>
    <r>
      <rPr>
        <sz val="11"/>
        <color indexed="8"/>
        <rFont val="Calibri"/>
        <family val="2"/>
      </rPr>
      <t xml:space="preserve">: 75 miles X $0.445/mile: </t>
    </r>
    <r>
      <rPr>
        <u val="single"/>
        <sz val="11"/>
        <color indexed="8"/>
        <rFont val="Calibri"/>
        <family val="2"/>
      </rPr>
      <t>Contributed</t>
    </r>
    <r>
      <rPr>
        <sz val="11"/>
        <color indexed="8"/>
        <rFont val="Calibri"/>
        <family val="2"/>
      </rPr>
      <t xml:space="preserve"> - 40 hrs X $20/hr</t>
    </r>
  </si>
  <si>
    <r>
      <rPr>
        <u val="single"/>
        <sz val="11"/>
        <color indexed="8"/>
        <rFont val="Calibri"/>
        <family val="2"/>
      </rPr>
      <t>Cost</t>
    </r>
    <r>
      <rPr>
        <sz val="11"/>
        <color indexed="8"/>
        <rFont val="Calibri"/>
        <family val="2"/>
      </rPr>
      <t xml:space="preserve">: meeting space &amp; supplies $500: </t>
    </r>
    <r>
      <rPr>
        <u val="single"/>
        <sz val="11"/>
        <color indexed="8"/>
        <rFont val="Calibri"/>
        <family val="2"/>
      </rPr>
      <t>Contributed</t>
    </r>
    <r>
      <rPr>
        <sz val="11"/>
        <color indexed="8"/>
        <rFont val="Calibri"/>
        <family val="2"/>
      </rPr>
      <t xml:space="preserve"> - 40hrs X $20/hr</t>
    </r>
  </si>
  <si>
    <r>
      <rPr>
        <u val="single"/>
        <sz val="11"/>
        <color indexed="8"/>
        <rFont val="Calibri"/>
        <family val="2"/>
      </rPr>
      <t>Cost:</t>
    </r>
    <r>
      <rPr>
        <sz val="11"/>
        <color indexed="8"/>
        <rFont val="Calibri"/>
        <family val="2"/>
      </rPr>
      <t xml:space="preserve"> 75 miles X $0.445/mile: </t>
    </r>
    <r>
      <rPr>
        <u val="single"/>
        <sz val="11"/>
        <color indexed="8"/>
        <rFont val="Calibri"/>
        <family val="2"/>
      </rPr>
      <t>Contributed:</t>
    </r>
    <r>
      <rPr>
        <sz val="11"/>
        <color indexed="8"/>
        <rFont val="Calibri"/>
        <family val="2"/>
      </rPr>
      <t xml:space="preserve"> - 40 hrs X $20/hr</t>
    </r>
  </si>
  <si>
    <t>sub-award: Mastication contractor (NEC)</t>
  </si>
  <si>
    <t>Field vehicle $58.50/day,$0.24/mi. X 14 days, 2042mi; Sedan $30/day, $0.14/mi.X 8 days,480mi</t>
  </si>
  <si>
    <t>Field vehicle 58.50/day,$0.24/mi. X 28 days, 4084mi; Sedan $30/day, $0.14/mi.X 24days,1440mi; Mileage reimburse 1021 mi X $0.445/mi</t>
  </si>
  <si>
    <t>$100 X 1</t>
  </si>
  <si>
    <t xml:space="preserve">$80/hr X 40 hrs; 700 mi X .445/mile </t>
  </si>
  <si>
    <t>$300/acre X 240 acres</t>
  </si>
  <si>
    <t xml:space="preserve">$80/hr X 46 hrs; 700 mi X .445/mile </t>
  </si>
  <si>
    <t>$300/acre X 550 acres</t>
  </si>
  <si>
    <t xml:space="preserve">$80/hr X 90 hrs; 1470 mi X .445/mile </t>
  </si>
  <si>
    <t>$80/hr X 4 hrs + $0.445 X 70 miles</t>
  </si>
  <si>
    <t>$10/hr X 150hrs X 2 pers</t>
  </si>
  <si>
    <t>12% X $3000</t>
  </si>
  <si>
    <t>$10/hr X 270hrs X 2 pers</t>
  </si>
  <si>
    <t>12% X $5400</t>
  </si>
  <si>
    <r>
      <rPr>
        <u val="single"/>
        <sz val="11"/>
        <color indexed="8"/>
        <rFont val="Calibri"/>
        <family val="2"/>
      </rPr>
      <t>Cost:</t>
    </r>
    <r>
      <rPr>
        <sz val="11"/>
        <color indexed="8"/>
        <rFont val="Calibri"/>
        <family val="2"/>
      </rPr>
      <t xml:space="preserve"> O. Romero 328hrsX$58.17/hr:  </t>
    </r>
    <r>
      <rPr>
        <u val="single"/>
        <sz val="11"/>
        <color indexed="8"/>
        <rFont val="Calibri"/>
        <family val="2"/>
      </rPr>
      <t>Contributed</t>
    </r>
    <r>
      <rPr>
        <sz val="11"/>
        <color indexed="8"/>
        <rFont val="Calibri"/>
        <family val="2"/>
      </rPr>
      <t xml:space="preserve"> - YCC $491/day X 6 days</t>
    </r>
  </si>
  <si>
    <r>
      <rPr>
        <u val="single"/>
        <sz val="11"/>
        <color indexed="8"/>
        <rFont val="Calibri"/>
        <family val="2"/>
      </rPr>
      <t>Cost:</t>
    </r>
    <r>
      <rPr>
        <sz val="11"/>
        <color indexed="8"/>
        <rFont val="Calibri"/>
        <family val="2"/>
      </rPr>
      <t xml:space="preserve">  O. Romero 86.64hrsX$58.17/hr:  </t>
    </r>
    <r>
      <rPr>
        <u val="single"/>
        <sz val="11"/>
        <color indexed="8"/>
        <rFont val="Calibri"/>
        <family val="2"/>
      </rPr>
      <t>Contributed:</t>
    </r>
    <r>
      <rPr>
        <sz val="11"/>
        <color indexed="8"/>
        <rFont val="Calibri"/>
        <family val="2"/>
      </rPr>
      <t xml:space="preserve"> YCC crew $491/day X 3 days</t>
    </r>
  </si>
  <si>
    <t>O. Romero: 86.64hrsX$58.17/hr</t>
  </si>
  <si>
    <r>
      <rPr>
        <u val="single"/>
        <sz val="11"/>
        <color indexed="8"/>
        <rFont val="Calibri"/>
        <family val="2"/>
      </rPr>
      <t>cost:</t>
    </r>
    <r>
      <rPr>
        <sz val="11"/>
        <color indexed="8"/>
        <rFont val="Calibri"/>
        <family val="2"/>
      </rPr>
      <t xml:space="preserve"> O.Romero 154.72hrsX$58.17/hr  </t>
    </r>
    <r>
      <rPr>
        <u val="single"/>
        <sz val="11"/>
        <color indexed="8"/>
        <rFont val="Calibri"/>
        <family val="2"/>
      </rPr>
      <t>contributed:</t>
    </r>
    <r>
      <rPr>
        <sz val="11"/>
        <color indexed="8"/>
        <rFont val="Calibri"/>
        <family val="2"/>
      </rPr>
      <t xml:space="preserve"> YCC - 3 days X $491/day</t>
    </r>
  </si>
  <si>
    <t>18.48% of Yr1 total costs</t>
  </si>
  <si>
    <t>19.47% of Yr2 total costs</t>
  </si>
  <si>
    <t>18.48% of Yr3 total costs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</si>
</sst>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&quot;$&quot;#,##0.0_);[Red]\(&quot;$&quot;#,##0.0\)"/>
    <numFmt numFmtId="168" formatCode="&quot;$&quot;#,##0.0000_);[Red]\(&quot;$&quot;#,##0.0000\)"/>
    <numFmt numFmtId="169" formatCode="&quot;$&quot;#,##0.0000"/>
    <numFmt numFmtId="170" formatCode="0.0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[$-409]dddd\,\ mmmm\ dd\,\ yyyy"/>
    <numFmt numFmtId="174" formatCode="[$-409]h:mm:ss\ AM/PM"/>
    <numFmt numFmtId="175" formatCode="&quot;$&quot;#,##0.0"/>
    <numFmt numFmtId="176" formatCode="0.000"/>
    <numFmt numFmtId="177" formatCode="0.0000"/>
    <numFmt numFmtId="178" formatCode="0.0%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top" wrapText="1"/>
    </xf>
    <xf numFmtId="44" fontId="0" fillId="0" borderId="0" xfId="0" applyNumberFormat="1" applyAlignment="1">
      <alignment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9" fontId="0" fillId="0" borderId="0" xfId="0" applyNumberFormat="1" applyAlignment="1">
      <alignment vertical="top" wrapText="1"/>
    </xf>
    <xf numFmtId="166" fontId="0" fillId="0" borderId="0" xfId="44" applyNumberFormat="1" applyFont="1" applyAlignment="1">
      <alignment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8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 quotePrefix="1">
      <alignment vertical="top"/>
    </xf>
    <xf numFmtId="166" fontId="0" fillId="0" borderId="0" xfId="44" applyNumberFormat="1" applyFont="1" applyAlignment="1">
      <alignment vertical="top"/>
    </xf>
    <xf numFmtId="166" fontId="0" fillId="0" borderId="0" xfId="0" applyNumberFormat="1" applyAlignment="1">
      <alignment horizontal="right" vertical="top"/>
    </xf>
    <xf numFmtId="166" fontId="0" fillId="0" borderId="0" xfId="44" applyNumberFormat="1" applyFont="1" applyAlignment="1">
      <alignment horizontal="right" vertical="top"/>
    </xf>
    <xf numFmtId="166" fontId="0" fillId="0" borderId="0" xfId="0" applyNumberFormat="1" applyAlignment="1" quotePrefix="1">
      <alignment horizontal="right" vertical="top"/>
    </xf>
    <xf numFmtId="166" fontId="0" fillId="0" borderId="0" xfId="44" applyNumberFormat="1" applyFont="1" applyAlignment="1" quotePrefix="1">
      <alignment horizontal="right" vertical="top"/>
    </xf>
    <xf numFmtId="166" fontId="20" fillId="0" borderId="0" xfId="0" applyNumberFormat="1" applyFont="1" applyAlignment="1">
      <alignment horizontal="right" vertical="top"/>
    </xf>
    <xf numFmtId="10" fontId="20" fillId="0" borderId="0" xfId="59" applyNumberFormat="1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3">
      <selection activeCell="D56" sqref="D56"/>
    </sheetView>
  </sheetViews>
  <sheetFormatPr defaultColWidth="9.140625" defaultRowHeight="15"/>
  <cols>
    <col min="1" max="1" width="30.57421875" style="5" customWidth="1"/>
    <col min="2" max="2" width="32.57421875" style="5" customWidth="1"/>
    <col min="3" max="3" width="11.140625" style="12" bestFit="1" customWidth="1"/>
    <col min="4" max="4" width="11.8515625" style="12" customWidth="1"/>
    <col min="5" max="5" width="13.00390625" style="12" customWidth="1"/>
    <col min="7" max="7" width="11.57421875" style="0" bestFit="1" customWidth="1"/>
    <col min="8" max="9" width="11.140625" style="0" bestFit="1" customWidth="1"/>
  </cols>
  <sheetData>
    <row r="1" spans="1:3" ht="15">
      <c r="A1" s="5" t="s">
        <v>61</v>
      </c>
      <c r="B1" s="5" t="s">
        <v>0</v>
      </c>
      <c r="C1" s="12" t="s">
        <v>1</v>
      </c>
    </row>
    <row r="2" ht="15">
      <c r="A2" s="14" t="s">
        <v>2</v>
      </c>
    </row>
    <row r="3" spans="1:5" ht="15">
      <c r="A3" s="5" t="s">
        <v>3</v>
      </c>
      <c r="B3" s="5" t="s">
        <v>4</v>
      </c>
      <c r="C3" s="12" t="s">
        <v>5</v>
      </c>
      <c r="D3" s="12" t="s">
        <v>6</v>
      </c>
      <c r="E3" s="12" t="s">
        <v>7</v>
      </c>
    </row>
    <row r="4" spans="1:5" ht="30">
      <c r="A4" s="5" t="s">
        <v>77</v>
      </c>
      <c r="B4" s="5" t="s">
        <v>59</v>
      </c>
      <c r="C4" s="7">
        <f>(6/12)*60000</f>
        <v>30000</v>
      </c>
      <c r="D4" s="7">
        <v>0</v>
      </c>
      <c r="E4" s="7">
        <f>SUM(C4:D4)</f>
        <v>30000</v>
      </c>
    </row>
    <row r="5" spans="1:5" ht="15.75" customHeight="1">
      <c r="A5" s="5" t="s">
        <v>68</v>
      </c>
      <c r="B5" s="5" t="s">
        <v>128</v>
      </c>
      <c r="C5" s="7">
        <f>10*(150*2)</f>
        <v>3000</v>
      </c>
      <c r="D5" s="7">
        <v>0</v>
      </c>
      <c r="E5" s="7">
        <f>SUM(C5:D5)</f>
        <v>3000</v>
      </c>
    </row>
    <row r="6" spans="3:5" ht="15">
      <c r="C6" s="7"/>
      <c r="D6" s="7"/>
      <c r="E6" s="7"/>
    </row>
    <row r="7" spans="1:5" ht="15">
      <c r="A7" s="5" t="s">
        <v>9</v>
      </c>
      <c r="C7" s="7">
        <f>SUM(C4:C5)</f>
        <v>33000</v>
      </c>
      <c r="D7" s="7">
        <f>SUM(D4:D5)</f>
        <v>0</v>
      </c>
      <c r="E7" s="7">
        <f>SUM(C7:D7)</f>
        <v>33000</v>
      </c>
    </row>
    <row r="9" ht="15">
      <c r="A9" s="14" t="s">
        <v>10</v>
      </c>
    </row>
    <row r="10" spans="1:5" ht="15">
      <c r="A10" s="5" t="s">
        <v>3</v>
      </c>
      <c r="B10" s="5" t="s">
        <v>4</v>
      </c>
      <c r="C10" s="12" t="s">
        <v>5</v>
      </c>
      <c r="D10" s="12" t="s">
        <v>6</v>
      </c>
      <c r="E10" s="12" t="s">
        <v>7</v>
      </c>
    </row>
    <row r="11" spans="1:5" ht="30">
      <c r="A11" s="5" t="s">
        <v>77</v>
      </c>
      <c r="B11" s="5" t="s">
        <v>60</v>
      </c>
      <c r="C11" s="7">
        <f>0.312*C4</f>
        <v>9360</v>
      </c>
      <c r="D11" s="7">
        <v>0</v>
      </c>
      <c r="E11" s="7">
        <f>SUM(C11:D11)</f>
        <v>9360</v>
      </c>
    </row>
    <row r="12" spans="1:5" ht="15">
      <c r="A12" s="5" t="s">
        <v>68</v>
      </c>
      <c r="B12" s="5" t="s">
        <v>129</v>
      </c>
      <c r="C12" s="7">
        <f>0.12*C5</f>
        <v>360</v>
      </c>
      <c r="D12" s="7">
        <v>0</v>
      </c>
      <c r="E12" s="7">
        <f>SUM(C12:D12)</f>
        <v>360</v>
      </c>
    </row>
    <row r="13" spans="3:5" ht="15">
      <c r="C13" s="7"/>
      <c r="D13" s="7"/>
      <c r="E13" s="7"/>
    </row>
    <row r="14" spans="1:5" ht="15">
      <c r="A14" s="5" t="s">
        <v>9</v>
      </c>
      <c r="C14" s="7">
        <f>SUM(C11:C13)</f>
        <v>9720</v>
      </c>
      <c r="D14" s="7">
        <f>SUM(D11:D13)</f>
        <v>0</v>
      </c>
      <c r="E14" s="7">
        <f>SUM(E11:E13)</f>
        <v>9720</v>
      </c>
    </row>
    <row r="16" ht="15">
      <c r="A16" s="14" t="s">
        <v>11</v>
      </c>
    </row>
    <row r="17" spans="1:5" ht="15">
      <c r="A17" s="5" t="s">
        <v>12</v>
      </c>
      <c r="B17" s="5" t="s">
        <v>4</v>
      </c>
      <c r="C17" s="12" t="s">
        <v>5</v>
      </c>
      <c r="D17" s="12" t="s">
        <v>6</v>
      </c>
      <c r="E17" s="12" t="s">
        <v>7</v>
      </c>
    </row>
    <row r="18" spans="1:5" ht="30">
      <c r="A18" s="5" t="s">
        <v>39</v>
      </c>
      <c r="B18" s="5" t="s">
        <v>106</v>
      </c>
      <c r="C18" s="7">
        <f>2*250</f>
        <v>500</v>
      </c>
      <c r="D18" s="7">
        <v>0</v>
      </c>
      <c r="E18" s="7">
        <f>SUM(C18:D18)</f>
        <v>500</v>
      </c>
    </row>
    <row r="19" spans="1:5" ht="45" customHeight="1">
      <c r="A19" s="5" t="s">
        <v>13</v>
      </c>
      <c r="B19" s="5" t="s">
        <v>113</v>
      </c>
      <c r="C19" s="7">
        <f>((30*8)+0.14*480)+((58.5*14)+0.24*2042)</f>
        <v>1616.28</v>
      </c>
      <c r="D19" s="7">
        <v>0</v>
      </c>
      <c r="E19" s="7">
        <f>SUM(C19:D19)</f>
        <v>1616.28</v>
      </c>
    </row>
    <row r="20" spans="1:5" ht="46.5" customHeight="1">
      <c r="A20" s="5" t="s">
        <v>69</v>
      </c>
      <c r="B20" s="5" t="s">
        <v>74</v>
      </c>
      <c r="C20" s="7">
        <f>(4*120)+(4*100)</f>
        <v>880</v>
      </c>
      <c r="D20" s="7">
        <v>0</v>
      </c>
      <c r="E20" s="7">
        <f>SUM(C20:D20)</f>
        <v>880</v>
      </c>
    </row>
    <row r="21" spans="1:5" ht="30">
      <c r="A21" s="5" t="s">
        <v>30</v>
      </c>
      <c r="B21" s="5" t="s">
        <v>107</v>
      </c>
      <c r="C21" s="7">
        <f>(20*14*4)</f>
        <v>1120</v>
      </c>
      <c r="D21" s="7">
        <v>0</v>
      </c>
      <c r="E21" s="7">
        <f>SUM(C21:D21)</f>
        <v>1120</v>
      </c>
    </row>
    <row r="22" spans="3:5" ht="15">
      <c r="C22" s="7"/>
      <c r="D22" s="7"/>
      <c r="E22" s="7"/>
    </row>
    <row r="23" spans="1:5" ht="15">
      <c r="A23" s="5" t="s">
        <v>9</v>
      </c>
      <c r="C23" s="7">
        <f>SUM(C18:C21)</f>
        <v>4116.28</v>
      </c>
      <c r="D23" s="7">
        <v>0</v>
      </c>
      <c r="E23" s="7">
        <f>SUM(E18:E21)</f>
        <v>4116.28</v>
      </c>
    </row>
    <row r="25" spans="1:2" ht="15">
      <c r="A25" s="14" t="s">
        <v>15</v>
      </c>
      <c r="B25" s="13" t="s">
        <v>16</v>
      </c>
    </row>
    <row r="27" ht="15">
      <c r="A27" s="14" t="s">
        <v>17</v>
      </c>
    </row>
    <row r="28" spans="1:5" ht="15">
      <c r="A28" s="5" t="s">
        <v>18</v>
      </c>
      <c r="B28" s="5" t="s">
        <v>4</v>
      </c>
      <c r="C28" s="12" t="s">
        <v>5</v>
      </c>
      <c r="D28" s="12" t="s">
        <v>6</v>
      </c>
      <c r="E28" s="12" t="s">
        <v>7</v>
      </c>
    </row>
    <row r="29" ht="15">
      <c r="A29" s="14" t="s">
        <v>40</v>
      </c>
    </row>
    <row r="30" spans="1:5" ht="30">
      <c r="A30" s="5" t="s">
        <v>75</v>
      </c>
      <c r="B30" s="5" t="s">
        <v>20</v>
      </c>
      <c r="C30" s="7">
        <v>200</v>
      </c>
      <c r="D30" s="7">
        <v>0</v>
      </c>
      <c r="E30" s="7">
        <f aca="true" t="shared" si="0" ref="E30:E36">SUM(C30:D30)</f>
        <v>200</v>
      </c>
    </row>
    <row r="31" spans="1:5" ht="15">
      <c r="A31" s="14" t="s">
        <v>57</v>
      </c>
      <c r="C31" s="7"/>
      <c r="D31" s="7">
        <v>0</v>
      </c>
      <c r="E31" s="7">
        <f t="shared" si="0"/>
        <v>0</v>
      </c>
    </row>
    <row r="32" spans="1:5" ht="15">
      <c r="A32" s="5" t="s">
        <v>24</v>
      </c>
      <c r="B32" s="5" t="s">
        <v>63</v>
      </c>
      <c r="C32" s="7">
        <f>5*12</f>
        <v>60</v>
      </c>
      <c r="D32" s="7">
        <v>0</v>
      </c>
      <c r="E32" s="7">
        <f t="shared" si="0"/>
        <v>60</v>
      </c>
    </row>
    <row r="33" spans="1:5" ht="15">
      <c r="A33" s="5" t="s">
        <v>25</v>
      </c>
      <c r="B33" s="5" t="s">
        <v>63</v>
      </c>
      <c r="C33" s="7">
        <f>5*12</f>
        <v>60</v>
      </c>
      <c r="D33" s="7">
        <v>0</v>
      </c>
      <c r="E33" s="7">
        <f t="shared" si="0"/>
        <v>60</v>
      </c>
    </row>
    <row r="34" spans="1:5" ht="15">
      <c r="A34" s="5" t="s">
        <v>27</v>
      </c>
      <c r="B34" s="5" t="s">
        <v>26</v>
      </c>
      <c r="C34" s="7">
        <f>10*12</f>
        <v>120</v>
      </c>
      <c r="D34" s="7">
        <v>0</v>
      </c>
      <c r="E34" s="7">
        <f t="shared" si="0"/>
        <v>120</v>
      </c>
    </row>
    <row r="35" spans="1:5" ht="15">
      <c r="A35" s="5" t="s">
        <v>28</v>
      </c>
      <c r="B35" s="5" t="s">
        <v>26</v>
      </c>
      <c r="C35" s="7">
        <f>10*12</f>
        <v>120</v>
      </c>
      <c r="D35" s="7">
        <v>0</v>
      </c>
      <c r="E35" s="7">
        <f t="shared" si="0"/>
        <v>120</v>
      </c>
    </row>
    <row r="36" spans="1:5" ht="15">
      <c r="A36" s="5" t="s">
        <v>29</v>
      </c>
      <c r="B36" s="5" t="s">
        <v>19</v>
      </c>
      <c r="C36" s="7">
        <v>50</v>
      </c>
      <c r="D36" s="7">
        <v>0</v>
      </c>
      <c r="E36" s="7">
        <f t="shared" si="0"/>
        <v>50</v>
      </c>
    </row>
    <row r="38" spans="1:5" ht="15">
      <c r="A38" s="5" t="s">
        <v>9</v>
      </c>
      <c r="C38" s="7">
        <f>SUM(C30:C37)</f>
        <v>610</v>
      </c>
      <c r="D38" s="7">
        <f>SUM(D30:D37)</f>
        <v>0</v>
      </c>
      <c r="E38" s="7">
        <f>SUM(E30:E37)</f>
        <v>610</v>
      </c>
    </row>
    <row r="39" spans="3:5" ht="15">
      <c r="C39" s="7"/>
      <c r="D39" s="7"/>
      <c r="E39" s="7"/>
    </row>
    <row r="40" spans="1:5" ht="15">
      <c r="A40" s="14" t="s">
        <v>31</v>
      </c>
      <c r="C40" s="7"/>
      <c r="D40" s="7"/>
      <c r="E40" s="7"/>
    </row>
    <row r="42" ht="15">
      <c r="A42" s="14" t="s">
        <v>32</v>
      </c>
    </row>
    <row r="43" spans="1:5" ht="15">
      <c r="A43" s="5" t="s">
        <v>98</v>
      </c>
      <c r="B43" s="5" t="s">
        <v>4</v>
      </c>
      <c r="C43" s="12" t="s">
        <v>5</v>
      </c>
      <c r="D43" s="12" t="s">
        <v>6</v>
      </c>
      <c r="E43" s="12" t="s">
        <v>7</v>
      </c>
    </row>
    <row r="44" spans="1:5" ht="15">
      <c r="A44" s="5" t="s">
        <v>102</v>
      </c>
      <c r="B44" s="5" t="s">
        <v>122</v>
      </c>
      <c r="C44" s="7">
        <f>700*0.445+80*40</f>
        <v>3511.5</v>
      </c>
      <c r="D44" s="7">
        <v>0</v>
      </c>
      <c r="E44" s="7">
        <f>SUM(C44:D44)</f>
        <v>3511.5</v>
      </c>
    </row>
    <row r="45" spans="1:5" ht="30">
      <c r="A45" s="5" t="s">
        <v>103</v>
      </c>
      <c r="B45" s="5" t="s">
        <v>115</v>
      </c>
      <c r="C45" s="7">
        <f>75*0.445</f>
        <v>33.375</v>
      </c>
      <c r="D45" s="7">
        <f>40*20</f>
        <v>800</v>
      </c>
      <c r="E45" s="7">
        <f>SUM(C45:D45)</f>
        <v>833.375</v>
      </c>
    </row>
    <row r="46" spans="1:5" ht="31.5" customHeight="1">
      <c r="A46" s="5" t="s">
        <v>104</v>
      </c>
      <c r="B46" s="5" t="s">
        <v>135</v>
      </c>
      <c r="C46" s="7">
        <f>200*45</f>
        <v>9000</v>
      </c>
      <c r="D46" s="7">
        <f>3*491</f>
        <v>1473</v>
      </c>
      <c r="E46" s="7">
        <f>SUM(C46:D46)</f>
        <v>10473</v>
      </c>
    </row>
    <row r="47" spans="1:5" ht="30">
      <c r="A47" s="5" t="s">
        <v>105</v>
      </c>
      <c r="B47" s="5" t="s">
        <v>84</v>
      </c>
      <c r="C47" s="7">
        <f>160*300</f>
        <v>48000</v>
      </c>
      <c r="D47" s="7">
        <v>0</v>
      </c>
      <c r="E47" s="7">
        <f>SUM(C47:D47)</f>
        <v>48000</v>
      </c>
    </row>
    <row r="48" spans="3:5" ht="15">
      <c r="C48" s="7"/>
      <c r="D48" s="7"/>
      <c r="E48" s="7"/>
    </row>
    <row r="49" spans="1:5" ht="15">
      <c r="A49" s="5" t="s">
        <v>9</v>
      </c>
      <c r="C49" s="7">
        <f>SUM(C44:C47)</f>
        <v>60544.875</v>
      </c>
      <c r="D49" s="7">
        <f>SUM(D44:D47)</f>
        <v>2273</v>
      </c>
      <c r="E49" s="7">
        <f>SUM(E44:E47)</f>
        <v>62817.875</v>
      </c>
    </row>
    <row r="51" spans="1:9" ht="15">
      <c r="A51" s="5" t="s">
        <v>46</v>
      </c>
      <c r="C51" s="7">
        <f>SUM(C49,C38,C23,C14,C7)</f>
        <v>107991.155</v>
      </c>
      <c r="D51" s="7">
        <f>SUM(D49,D38,D23,D14,D7)</f>
        <v>2273</v>
      </c>
      <c r="E51" s="7">
        <f>SUM(E49,E38,E23,E14,E7)</f>
        <v>110264.155</v>
      </c>
      <c r="H51" s="2"/>
      <c r="I51" s="2"/>
    </row>
    <row r="53" ht="15">
      <c r="A53" s="14" t="s">
        <v>33</v>
      </c>
    </row>
    <row r="54" spans="1:5" ht="15">
      <c r="A54" s="5" t="s">
        <v>45</v>
      </c>
      <c r="B54" s="5" t="s">
        <v>4</v>
      </c>
      <c r="C54" s="12" t="s">
        <v>5</v>
      </c>
      <c r="D54" s="12" t="s">
        <v>6</v>
      </c>
      <c r="E54" s="12" t="s">
        <v>7</v>
      </c>
    </row>
    <row r="55" spans="1:5" ht="15">
      <c r="A55" s="10" t="s">
        <v>43</v>
      </c>
      <c r="B55" s="12" t="s">
        <v>56</v>
      </c>
      <c r="C55" s="7">
        <f>0.1111*C51</f>
        <v>11997.8173205</v>
      </c>
      <c r="D55" s="17" t="s">
        <v>34</v>
      </c>
      <c r="E55" s="7">
        <f>C55</f>
        <v>11997.8173205</v>
      </c>
    </row>
    <row r="56" spans="1:7" ht="15">
      <c r="A56" s="5" t="s">
        <v>42</v>
      </c>
      <c r="B56" s="12" t="s">
        <v>136</v>
      </c>
      <c r="C56" s="17" t="s">
        <v>35</v>
      </c>
      <c r="D56" s="7">
        <f>(C60*0.2/0.8)-D51</f>
        <v>27724.243080125</v>
      </c>
      <c r="E56" s="7">
        <f>D56</f>
        <v>27724.243080125</v>
      </c>
      <c r="G56" s="1">
        <f>D56/C51</f>
        <v>0.2567269799098362</v>
      </c>
    </row>
    <row r="57" spans="1:8" ht="15">
      <c r="A57" s="5" t="s">
        <v>36</v>
      </c>
      <c r="C57" s="7">
        <f>C55</f>
        <v>11997.8173205</v>
      </c>
      <c r="D57" s="7">
        <f>D56</f>
        <v>27724.243080125</v>
      </c>
      <c r="E57" s="7">
        <f>SUM(E55:E56)</f>
        <v>39722.060400625</v>
      </c>
      <c r="G57">
        <f>D56/E60</f>
        <v>0.1848452739878219</v>
      </c>
      <c r="H57" s="2"/>
    </row>
    <row r="58" spans="3:5" ht="15">
      <c r="C58" s="7"/>
      <c r="D58" s="7"/>
      <c r="E58" s="7"/>
    </row>
    <row r="59" spans="1:5" ht="15">
      <c r="A59" s="5" t="s">
        <v>37</v>
      </c>
      <c r="C59" s="12" t="s">
        <v>5</v>
      </c>
      <c r="D59" s="12" t="s">
        <v>6</v>
      </c>
      <c r="E59" s="12" t="s">
        <v>7</v>
      </c>
    </row>
    <row r="60" spans="3:5" ht="15">
      <c r="C60" s="7">
        <f>SUM(C55,C51)</f>
        <v>119988.9723205</v>
      </c>
      <c r="D60" s="7">
        <f>SUM(D57,D51)</f>
        <v>29997.243080125</v>
      </c>
      <c r="E60" s="7">
        <f>SUM(E57,E51)</f>
        <v>149986.215400625</v>
      </c>
    </row>
    <row r="62" ht="15">
      <c r="D62" s="12">
        <f>D60/E60</f>
        <v>0.2</v>
      </c>
    </row>
    <row r="64" spans="3:5" ht="15">
      <c r="C64" s="12">
        <f>C60/4</f>
        <v>29997.243080125</v>
      </c>
      <c r="D64" s="12">
        <f>D60/4</f>
        <v>7499.31077003125</v>
      </c>
      <c r="E64" s="12">
        <f>E60/4</f>
        <v>37496.55385015625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6">
      <selection activeCell="C64" sqref="C64"/>
    </sheetView>
  </sheetViews>
  <sheetFormatPr defaultColWidth="9.140625" defaultRowHeight="15"/>
  <cols>
    <col min="1" max="1" width="31.8515625" style="5" customWidth="1"/>
    <col min="2" max="2" width="28.7109375" style="5" customWidth="1"/>
    <col min="3" max="3" width="11.140625" style="12" bestFit="1" customWidth="1"/>
    <col min="4" max="4" width="11.8515625" style="12" customWidth="1"/>
    <col min="5" max="5" width="13.00390625" style="12" customWidth="1"/>
    <col min="7" max="7" width="11.57421875" style="0" bestFit="1" customWidth="1"/>
    <col min="8" max="9" width="11.140625" style="0" bestFit="1" customWidth="1"/>
  </cols>
  <sheetData>
    <row r="1" spans="1:3" ht="15">
      <c r="A1" s="5" t="s">
        <v>80</v>
      </c>
      <c r="B1" s="5" t="s">
        <v>0</v>
      </c>
      <c r="C1" s="12" t="s">
        <v>81</v>
      </c>
    </row>
    <row r="2" ht="15">
      <c r="A2" s="14" t="s">
        <v>2</v>
      </c>
    </row>
    <row r="3" spans="1:5" ht="15">
      <c r="A3" s="5" t="s">
        <v>3</v>
      </c>
      <c r="B3" s="5" t="s">
        <v>4</v>
      </c>
      <c r="C3" s="12" t="s">
        <v>5</v>
      </c>
      <c r="D3" s="12" t="s">
        <v>6</v>
      </c>
      <c r="E3" s="12" t="s">
        <v>7</v>
      </c>
    </row>
    <row r="4" spans="1:5" ht="30">
      <c r="A4" s="5" t="s">
        <v>71</v>
      </c>
      <c r="B4" s="5" t="s">
        <v>70</v>
      </c>
      <c r="C4" s="7">
        <f>(3/12)*60000</f>
        <v>15000</v>
      </c>
      <c r="D4" s="7">
        <v>0</v>
      </c>
      <c r="E4" s="7">
        <f>SUM(C4:D4)</f>
        <v>15000</v>
      </c>
    </row>
    <row r="5" spans="3:5" ht="15">
      <c r="C5" s="7"/>
      <c r="D5" s="7"/>
      <c r="E5" s="7"/>
    </row>
    <row r="6" spans="1:5" ht="15">
      <c r="A6" s="5" t="s">
        <v>9</v>
      </c>
      <c r="C6" s="7">
        <f>SUM(C4:C4)</f>
        <v>15000</v>
      </c>
      <c r="D6" s="7">
        <f>SUM(D4:D4)</f>
        <v>0</v>
      </c>
      <c r="E6" s="7">
        <f>SUM(C6:D6)</f>
        <v>15000</v>
      </c>
    </row>
    <row r="8" ht="15">
      <c r="A8" s="14" t="s">
        <v>10</v>
      </c>
    </row>
    <row r="9" spans="1:5" ht="15">
      <c r="A9" s="5" t="s">
        <v>3</v>
      </c>
      <c r="B9" s="5" t="s">
        <v>4</v>
      </c>
      <c r="C9" s="12" t="s">
        <v>5</v>
      </c>
      <c r="D9" s="12" t="s">
        <v>6</v>
      </c>
      <c r="E9" s="12" t="s">
        <v>7</v>
      </c>
    </row>
    <row r="10" spans="1:5" ht="15">
      <c r="A10" s="5" t="s">
        <v>8</v>
      </c>
      <c r="B10" s="5" t="s">
        <v>67</v>
      </c>
      <c r="C10" s="7">
        <f>0.312*C4</f>
        <v>4680</v>
      </c>
      <c r="D10" s="7">
        <v>0</v>
      </c>
      <c r="E10" s="7">
        <f>SUM(C10:D10)</f>
        <v>4680</v>
      </c>
    </row>
    <row r="11" spans="3:5" ht="15">
      <c r="C11" s="7"/>
      <c r="D11" s="7"/>
      <c r="E11" s="7"/>
    </row>
    <row r="12" spans="1:5" ht="15">
      <c r="A12" s="5" t="s">
        <v>9</v>
      </c>
      <c r="C12" s="7">
        <f>SUM(C10:C11)</f>
        <v>4680</v>
      </c>
      <c r="D12" s="7">
        <f>SUM(D10:D11)</f>
        <v>0</v>
      </c>
      <c r="E12" s="7">
        <f>SUM(E10:E11)</f>
        <v>4680</v>
      </c>
    </row>
    <row r="14" ht="15">
      <c r="A14" s="14" t="s">
        <v>11</v>
      </c>
    </row>
    <row r="15" spans="1:5" ht="15">
      <c r="A15" s="5" t="s">
        <v>12</v>
      </c>
      <c r="B15" s="5" t="s">
        <v>4</v>
      </c>
      <c r="C15" s="12" t="s">
        <v>5</v>
      </c>
      <c r="D15" s="12" t="s">
        <v>6</v>
      </c>
      <c r="E15" s="12" t="s">
        <v>7</v>
      </c>
    </row>
    <row r="16" spans="1:5" ht="32.25" customHeight="1">
      <c r="A16" s="5" t="s">
        <v>39</v>
      </c>
      <c r="B16" s="5" t="s">
        <v>62</v>
      </c>
      <c r="C16" s="7">
        <f>2*250</f>
        <v>500</v>
      </c>
      <c r="D16" s="7">
        <v>0</v>
      </c>
      <c r="E16" s="7">
        <f>SUM(C16:D16)</f>
        <v>500</v>
      </c>
    </row>
    <row r="17" spans="1:5" ht="45.75" customHeight="1">
      <c r="A17" s="5" t="s">
        <v>65</v>
      </c>
      <c r="B17" s="5" t="s">
        <v>64</v>
      </c>
      <c r="C17" s="7">
        <f>(1021*0.445)+((30*8)+0.14*480)</f>
        <v>761.5450000000001</v>
      </c>
      <c r="D17" s="7">
        <v>0</v>
      </c>
      <c r="E17" s="7">
        <f>SUM(C17:D17)</f>
        <v>761.5450000000001</v>
      </c>
    </row>
    <row r="18" spans="1:5" ht="45">
      <c r="A18" s="5" t="s">
        <v>14</v>
      </c>
      <c r="B18" s="5" t="s">
        <v>74</v>
      </c>
      <c r="C18" s="7">
        <f>(4*120)+(4*100)</f>
        <v>880</v>
      </c>
      <c r="D18" s="7">
        <v>0</v>
      </c>
      <c r="E18" s="7">
        <f>SUM(C18:D18)</f>
        <v>880</v>
      </c>
    </row>
    <row r="19" spans="3:5" ht="15">
      <c r="C19" s="7"/>
      <c r="D19" s="7"/>
      <c r="E19" s="7"/>
    </row>
    <row r="20" spans="1:5" ht="15">
      <c r="A20" s="5" t="s">
        <v>9</v>
      </c>
      <c r="C20" s="7">
        <f>SUM(C16:C18)</f>
        <v>2141.545</v>
      </c>
      <c r="D20" s="7">
        <v>0</v>
      </c>
      <c r="E20" s="7">
        <f>SUM(E16:E18)</f>
        <v>2141.545</v>
      </c>
    </row>
    <row r="22" spans="1:2" ht="15">
      <c r="A22" s="14" t="s">
        <v>15</v>
      </c>
      <c r="B22" s="13" t="s">
        <v>16</v>
      </c>
    </row>
    <row r="24" ht="15">
      <c r="A24" s="14" t="s">
        <v>17</v>
      </c>
    </row>
    <row r="25" spans="1:5" ht="15">
      <c r="A25" s="5" t="s">
        <v>18</v>
      </c>
      <c r="B25" s="5" t="s">
        <v>4</v>
      </c>
      <c r="C25" s="12" t="s">
        <v>5</v>
      </c>
      <c r="D25" s="12" t="s">
        <v>6</v>
      </c>
      <c r="E25" s="12" t="s">
        <v>7</v>
      </c>
    </row>
    <row r="26" spans="1:5" ht="15">
      <c r="A26" s="5" t="s">
        <v>22</v>
      </c>
      <c r="B26" s="5" t="s">
        <v>23</v>
      </c>
      <c r="C26" s="7">
        <v>300</v>
      </c>
      <c r="D26" s="7">
        <v>0</v>
      </c>
      <c r="E26" s="7">
        <f aca="true" t="shared" si="0" ref="E26:E32">SUM(C26:D26)</f>
        <v>300</v>
      </c>
    </row>
    <row r="27" spans="1:5" ht="15">
      <c r="A27" s="14" t="s">
        <v>57</v>
      </c>
      <c r="C27" s="7"/>
      <c r="D27" s="7">
        <v>0</v>
      </c>
      <c r="E27" s="7">
        <f t="shared" si="0"/>
        <v>0</v>
      </c>
    </row>
    <row r="28" spans="1:5" ht="15">
      <c r="A28" s="5" t="s">
        <v>24</v>
      </c>
      <c r="B28" s="5" t="s">
        <v>63</v>
      </c>
      <c r="C28" s="7">
        <f>5*12</f>
        <v>60</v>
      </c>
      <c r="D28" s="7">
        <v>0</v>
      </c>
      <c r="E28" s="7">
        <f t="shared" si="0"/>
        <v>60</v>
      </c>
    </row>
    <row r="29" spans="1:5" ht="15">
      <c r="A29" s="5" t="s">
        <v>25</v>
      </c>
      <c r="B29" s="5" t="s">
        <v>63</v>
      </c>
      <c r="C29" s="7">
        <f>5*12</f>
        <v>60</v>
      </c>
      <c r="D29" s="7">
        <v>0</v>
      </c>
      <c r="E29" s="7">
        <f t="shared" si="0"/>
        <v>60</v>
      </c>
    </row>
    <row r="30" spans="1:5" ht="15">
      <c r="A30" s="5" t="s">
        <v>27</v>
      </c>
      <c r="B30" s="5" t="s">
        <v>26</v>
      </c>
      <c r="C30" s="7">
        <f>10*12</f>
        <v>120</v>
      </c>
      <c r="D30" s="7">
        <v>0</v>
      </c>
      <c r="E30" s="7">
        <f t="shared" si="0"/>
        <v>120</v>
      </c>
    </row>
    <row r="31" spans="1:5" ht="15">
      <c r="A31" s="5" t="s">
        <v>28</v>
      </c>
      <c r="B31" s="5" t="s">
        <v>26</v>
      </c>
      <c r="C31" s="7">
        <f>10*12</f>
        <v>120</v>
      </c>
      <c r="D31" s="7">
        <v>0</v>
      </c>
      <c r="E31" s="7">
        <f t="shared" si="0"/>
        <v>120</v>
      </c>
    </row>
    <row r="32" spans="1:5" ht="15">
      <c r="A32" s="5" t="s">
        <v>29</v>
      </c>
      <c r="B32" s="5" t="s">
        <v>19</v>
      </c>
      <c r="C32" s="7">
        <v>50</v>
      </c>
      <c r="D32" s="7">
        <v>0</v>
      </c>
      <c r="E32" s="7">
        <f t="shared" si="0"/>
        <v>50</v>
      </c>
    </row>
    <row r="34" spans="1:5" ht="15">
      <c r="A34" s="5" t="s">
        <v>9</v>
      </c>
      <c r="C34" s="7">
        <f>SUM(C26:C33)</f>
        <v>710</v>
      </c>
      <c r="D34" s="7">
        <f>SUM(D26:D33)</f>
        <v>0</v>
      </c>
      <c r="E34" s="7">
        <f>SUM(E26:E33)</f>
        <v>710</v>
      </c>
    </row>
    <row r="35" spans="3:5" ht="15">
      <c r="C35" s="7"/>
      <c r="D35" s="7"/>
      <c r="E35" s="7"/>
    </row>
    <row r="36" spans="1:5" ht="15">
      <c r="A36" s="14" t="s">
        <v>99</v>
      </c>
      <c r="C36" s="7"/>
      <c r="D36" s="7"/>
      <c r="E36" s="7"/>
    </row>
    <row r="38" ht="15">
      <c r="A38" s="14" t="s">
        <v>32</v>
      </c>
    </row>
    <row r="39" spans="1:5" ht="15">
      <c r="A39" s="5" t="s">
        <v>98</v>
      </c>
      <c r="B39" s="5" t="s">
        <v>4</v>
      </c>
      <c r="C39" s="12" t="s">
        <v>5</v>
      </c>
      <c r="D39" s="12" t="s">
        <v>6</v>
      </c>
      <c r="E39" s="12" t="s">
        <v>7</v>
      </c>
    </row>
    <row r="40" spans="1:5" ht="30">
      <c r="A40" s="5" t="s">
        <v>102</v>
      </c>
      <c r="B40" s="5" t="s">
        <v>127</v>
      </c>
      <c r="C40" s="18">
        <f>4*80+(70*0.445)</f>
        <v>351.15</v>
      </c>
      <c r="D40" s="18">
        <v>0</v>
      </c>
      <c r="E40" s="7">
        <f>SUM(C40:D40)</f>
        <v>351.15</v>
      </c>
    </row>
    <row r="41" spans="1:5" ht="44.25" customHeight="1">
      <c r="A41" s="5" t="s">
        <v>103</v>
      </c>
      <c r="B41" s="5" t="s">
        <v>116</v>
      </c>
      <c r="C41" s="7">
        <v>500</v>
      </c>
      <c r="D41" s="7">
        <f>40*20</f>
        <v>800</v>
      </c>
      <c r="E41" s="7">
        <f>SUM(C41:D41)</f>
        <v>1300</v>
      </c>
    </row>
    <row r="42" spans="1:5" ht="15.75" customHeight="1">
      <c r="A42" s="5" t="s">
        <v>104</v>
      </c>
      <c r="B42" s="5" t="s">
        <v>134</v>
      </c>
      <c r="C42" s="7">
        <f>112*45</f>
        <v>5040</v>
      </c>
      <c r="D42" s="7">
        <v>0</v>
      </c>
      <c r="E42" s="7">
        <f>SUM(C42:D42)</f>
        <v>5040</v>
      </c>
    </row>
    <row r="43" spans="1:5" ht="30">
      <c r="A43" s="5" t="s">
        <v>105</v>
      </c>
      <c r="B43" s="5" t="s">
        <v>73</v>
      </c>
      <c r="C43" s="7">
        <f>300*150</f>
        <v>45000</v>
      </c>
      <c r="D43" s="7">
        <v>0</v>
      </c>
      <c r="E43" s="7">
        <f>SUM(C43:D43)</f>
        <v>45000</v>
      </c>
    </row>
    <row r="44" spans="1:5" ht="30.75" customHeight="1">
      <c r="A44" s="5" t="s">
        <v>112</v>
      </c>
      <c r="B44" s="5" t="s">
        <v>76</v>
      </c>
      <c r="C44" s="7">
        <f>125*275</f>
        <v>34375</v>
      </c>
      <c r="D44" s="7">
        <v>0</v>
      </c>
      <c r="E44" s="7">
        <f>SUM(C44:D44)</f>
        <v>34375</v>
      </c>
    </row>
    <row r="45" spans="3:5" ht="15">
      <c r="C45" s="7"/>
      <c r="D45" s="7"/>
      <c r="E45" s="7"/>
    </row>
    <row r="46" spans="1:5" ht="15">
      <c r="A46" s="5" t="s">
        <v>9</v>
      </c>
      <c r="C46" s="7">
        <f>SUM(C40:C44)</f>
        <v>85266.15</v>
      </c>
      <c r="D46" s="7">
        <f>SUM(D40:D44)</f>
        <v>800</v>
      </c>
      <c r="E46" s="7">
        <f>SUM(E40:E44)</f>
        <v>86066.15</v>
      </c>
    </row>
    <row r="47" ht="15">
      <c r="A47" s="14"/>
    </row>
    <row r="49" spans="1:9" ht="15">
      <c r="A49" s="5" t="s">
        <v>46</v>
      </c>
      <c r="C49" s="7">
        <f>SUM(C46,C34,C20,C12,C6)</f>
        <v>107797.69499999999</v>
      </c>
      <c r="D49" s="7">
        <f>SUM(D46,D34,D20,D12,D6)</f>
        <v>800</v>
      </c>
      <c r="E49" s="7">
        <f>SUM(E46,E34,E20,E12,E6)</f>
        <v>108597.69499999999</v>
      </c>
      <c r="H49" s="2"/>
      <c r="I49" s="2"/>
    </row>
    <row r="51" ht="15">
      <c r="A51" s="14" t="s">
        <v>33</v>
      </c>
    </row>
    <row r="52" spans="1:5" ht="15">
      <c r="A52" s="5" t="s">
        <v>45</v>
      </c>
      <c r="B52" s="5" t="s">
        <v>4</v>
      </c>
      <c r="C52" s="12" t="s">
        <v>5</v>
      </c>
      <c r="D52" s="12" t="s">
        <v>6</v>
      </c>
      <c r="E52" s="12" t="s">
        <v>7</v>
      </c>
    </row>
    <row r="53" spans="1:5" ht="15">
      <c r="A53" s="10" t="s">
        <v>43</v>
      </c>
      <c r="B53" s="12" t="s">
        <v>56</v>
      </c>
      <c r="C53" s="7">
        <f>0.1111*C49</f>
        <v>11976.323914499999</v>
      </c>
      <c r="D53" s="17" t="s">
        <v>34</v>
      </c>
      <c r="E53" s="7">
        <f>C53</f>
        <v>11976.323914499999</v>
      </c>
    </row>
    <row r="54" spans="1:7" ht="15">
      <c r="A54" s="5" t="s">
        <v>42</v>
      </c>
      <c r="B54" s="12" t="s">
        <v>137</v>
      </c>
      <c r="C54" s="17" t="s">
        <v>35</v>
      </c>
      <c r="D54" s="7">
        <f>(C58*0.2/0.8)-D49</f>
        <v>29143.504728624997</v>
      </c>
      <c r="E54" s="7">
        <f>D54</f>
        <v>29143.504728624997</v>
      </c>
      <c r="G54" s="1">
        <f>D54/C49</f>
        <v>0.2703536910378742</v>
      </c>
    </row>
    <row r="55" spans="1:8" ht="15">
      <c r="A55" s="5" t="s">
        <v>36</v>
      </c>
      <c r="C55" s="7">
        <f>C53</f>
        <v>11976.323914499999</v>
      </c>
      <c r="D55" s="7">
        <f>D54</f>
        <v>29143.504728624997</v>
      </c>
      <c r="E55" s="7">
        <f>SUM(E53:E54)</f>
        <v>41119.828643124994</v>
      </c>
      <c r="G55">
        <f>D54/E58</f>
        <v>0.19465660411331057</v>
      </c>
      <c r="H55" s="2"/>
    </row>
    <row r="56" spans="3:5" ht="15">
      <c r="C56" s="7"/>
      <c r="D56" s="7"/>
      <c r="E56" s="7"/>
    </row>
    <row r="57" spans="1:5" ht="15">
      <c r="A57" s="5" t="s">
        <v>95</v>
      </c>
      <c r="C57" s="12" t="s">
        <v>5</v>
      </c>
      <c r="D57" s="12" t="s">
        <v>6</v>
      </c>
      <c r="E57" s="12" t="s">
        <v>7</v>
      </c>
    </row>
    <row r="58" spans="3:5" ht="15">
      <c r="C58" s="7">
        <f>SUM(C53,C49)</f>
        <v>119774.01891449999</v>
      </c>
      <c r="D58" s="7">
        <f>SUM(D55,D49)</f>
        <v>29943.504728624997</v>
      </c>
      <c r="E58" s="7">
        <f>SUM(E55,E49)</f>
        <v>149717.523643125</v>
      </c>
    </row>
    <row r="60" ht="15">
      <c r="D60" s="12">
        <f>D58/E58</f>
        <v>0.19999999999999998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6">
      <selection activeCell="D63" sqref="D63"/>
    </sheetView>
  </sheetViews>
  <sheetFormatPr defaultColWidth="9.140625" defaultRowHeight="15"/>
  <cols>
    <col min="1" max="1" width="29.7109375" style="5" customWidth="1"/>
    <col min="2" max="2" width="35.7109375" style="5" customWidth="1"/>
    <col min="3" max="3" width="11.140625" style="12" bestFit="1" customWidth="1"/>
    <col min="4" max="4" width="11.8515625" style="12" customWidth="1"/>
    <col min="5" max="5" width="13.00390625" style="12" customWidth="1"/>
    <col min="7" max="7" width="11.57421875" style="0" bestFit="1" customWidth="1"/>
    <col min="8" max="9" width="11.140625" style="0" bestFit="1" customWidth="1"/>
  </cols>
  <sheetData>
    <row r="1" spans="1:3" ht="15">
      <c r="A1" s="5" t="s">
        <v>82</v>
      </c>
      <c r="B1" s="5" t="s">
        <v>0</v>
      </c>
      <c r="C1" s="12" t="s">
        <v>83</v>
      </c>
    </row>
    <row r="2" ht="15">
      <c r="A2" s="14" t="s">
        <v>2</v>
      </c>
    </row>
    <row r="3" spans="1:5" ht="15">
      <c r="A3" s="5" t="s">
        <v>3</v>
      </c>
      <c r="B3" s="5" t="s">
        <v>4</v>
      </c>
      <c r="C3" s="12" t="s">
        <v>5</v>
      </c>
      <c r="D3" s="12" t="s">
        <v>6</v>
      </c>
      <c r="E3" s="12" t="s">
        <v>7</v>
      </c>
    </row>
    <row r="4" spans="1:5" ht="29.25" customHeight="1">
      <c r="A4" s="5" t="s">
        <v>79</v>
      </c>
      <c r="B4" s="5" t="s">
        <v>70</v>
      </c>
      <c r="C4" s="7">
        <f>(3/12)*60000</f>
        <v>15000</v>
      </c>
      <c r="D4" s="7">
        <v>0</v>
      </c>
      <c r="E4" s="7">
        <f>SUM(C4:D4)</f>
        <v>15000</v>
      </c>
    </row>
    <row r="5" spans="1:5" ht="18" customHeight="1">
      <c r="A5" s="5" t="s">
        <v>68</v>
      </c>
      <c r="B5" s="5" t="s">
        <v>78</v>
      </c>
      <c r="C5" s="7">
        <f>10*120*2</f>
        <v>2400</v>
      </c>
      <c r="D5" s="7">
        <v>0</v>
      </c>
      <c r="E5" s="7">
        <f>SUM(C5:D5)</f>
        <v>2400</v>
      </c>
    </row>
    <row r="6" spans="3:5" ht="15">
      <c r="C6" s="7"/>
      <c r="D6" s="7"/>
      <c r="E6" s="7"/>
    </row>
    <row r="7" spans="1:5" ht="15">
      <c r="A7" s="5" t="s">
        <v>9</v>
      </c>
      <c r="C7" s="7">
        <f>SUM(C4:C5)</f>
        <v>17400</v>
      </c>
      <c r="D7" s="7">
        <f>SUM(D4:D5)</f>
        <v>0</v>
      </c>
      <c r="E7" s="7">
        <f>SUM(C7:D7)</f>
        <v>17400</v>
      </c>
    </row>
    <row r="9" ht="15">
      <c r="A9" s="14" t="s">
        <v>10</v>
      </c>
    </row>
    <row r="10" spans="1:5" ht="15">
      <c r="A10" s="5" t="s">
        <v>3</v>
      </c>
      <c r="B10" s="5" t="s">
        <v>4</v>
      </c>
      <c r="C10" s="12" t="s">
        <v>5</v>
      </c>
      <c r="D10" s="12" t="s">
        <v>6</v>
      </c>
      <c r="E10" s="12" t="s">
        <v>7</v>
      </c>
    </row>
    <row r="11" spans="1:5" ht="15">
      <c r="A11" s="5" t="s">
        <v>8</v>
      </c>
      <c r="B11" s="5" t="s">
        <v>66</v>
      </c>
      <c r="C11" s="7">
        <f>0.312*C4</f>
        <v>4680</v>
      </c>
      <c r="D11" s="7">
        <v>0</v>
      </c>
      <c r="E11" s="7">
        <f>SUM(C11:D11)</f>
        <v>4680</v>
      </c>
    </row>
    <row r="12" spans="1:5" ht="16.5" customHeight="1">
      <c r="A12" s="5" t="s">
        <v>68</v>
      </c>
      <c r="B12" s="5" t="s">
        <v>110</v>
      </c>
      <c r="C12" s="7">
        <f>0.12*C5</f>
        <v>288</v>
      </c>
      <c r="D12" s="7">
        <v>0</v>
      </c>
      <c r="E12" s="7">
        <f>SUM(C12:D12)</f>
        <v>288</v>
      </c>
    </row>
    <row r="13" spans="3:5" ht="15">
      <c r="C13" s="7"/>
      <c r="D13" s="7"/>
      <c r="E13" s="7"/>
    </row>
    <row r="14" spans="1:5" ht="15">
      <c r="A14" s="5" t="s">
        <v>9</v>
      </c>
      <c r="C14" s="7">
        <f>SUM(C11:C13)</f>
        <v>4968</v>
      </c>
      <c r="D14" s="7">
        <f>SUM(D11:D13)</f>
        <v>0</v>
      </c>
      <c r="E14" s="7">
        <f>SUM(E11:E13)</f>
        <v>4968</v>
      </c>
    </row>
    <row r="16" ht="15">
      <c r="A16" s="14" t="s">
        <v>11</v>
      </c>
    </row>
    <row r="17" spans="1:5" ht="15">
      <c r="A17" s="5" t="s">
        <v>12</v>
      </c>
      <c r="B17" s="5" t="s">
        <v>4</v>
      </c>
      <c r="C17" s="12" t="s">
        <v>5</v>
      </c>
      <c r="D17" s="12" t="s">
        <v>6</v>
      </c>
      <c r="E17" s="12" t="s">
        <v>7</v>
      </c>
    </row>
    <row r="18" spans="1:5" ht="30">
      <c r="A18" s="5" t="s">
        <v>39</v>
      </c>
      <c r="B18" s="5" t="s">
        <v>87</v>
      </c>
      <c r="C18" s="7">
        <f>1*250</f>
        <v>250</v>
      </c>
      <c r="D18" s="7">
        <v>0</v>
      </c>
      <c r="E18" s="7">
        <f>SUM(C18:D18)</f>
        <v>250</v>
      </c>
    </row>
    <row r="19" spans="1:5" ht="47.25" customHeight="1">
      <c r="A19" s="5" t="s">
        <v>72</v>
      </c>
      <c r="B19" s="5" t="s">
        <v>119</v>
      </c>
      <c r="C19" s="7">
        <f>((58.5*14)+(0.24*2042))+((30*8)+0.14*480)</f>
        <v>1616.28</v>
      </c>
      <c r="D19" s="7">
        <v>0</v>
      </c>
      <c r="E19" s="7">
        <f>SUM(C19:D19)</f>
        <v>1616.28</v>
      </c>
    </row>
    <row r="20" spans="1:5" ht="45">
      <c r="A20" s="5" t="s">
        <v>14</v>
      </c>
      <c r="B20" s="5" t="s">
        <v>74</v>
      </c>
      <c r="C20" s="7">
        <f>(4*120)+(4*100)</f>
        <v>880</v>
      </c>
      <c r="D20" s="7">
        <v>0</v>
      </c>
      <c r="E20" s="7">
        <f>SUM(C20:D20)</f>
        <v>880</v>
      </c>
    </row>
    <row r="21" spans="1:5" ht="32.25" customHeight="1">
      <c r="A21" s="5" t="s">
        <v>30</v>
      </c>
      <c r="B21" s="5" t="s">
        <v>107</v>
      </c>
      <c r="C21" s="7">
        <f>(20*14*4)</f>
        <v>1120</v>
      </c>
      <c r="D21" s="7">
        <v>0</v>
      </c>
      <c r="E21" s="7">
        <f>SUM(C21:D21)</f>
        <v>1120</v>
      </c>
    </row>
    <row r="22" spans="3:5" ht="15">
      <c r="C22" s="7"/>
      <c r="D22" s="7"/>
      <c r="E22" s="7"/>
    </row>
    <row r="23" spans="1:5" ht="15">
      <c r="A23" s="5" t="s">
        <v>9</v>
      </c>
      <c r="C23" s="7">
        <f>SUM(C18:C21)</f>
        <v>3866.2799999999997</v>
      </c>
      <c r="D23" s="7">
        <v>0</v>
      </c>
      <c r="E23" s="7">
        <f>SUM(E18:E21)</f>
        <v>3866.2799999999997</v>
      </c>
    </row>
    <row r="25" spans="1:2" ht="15">
      <c r="A25" s="14" t="s">
        <v>15</v>
      </c>
      <c r="B25" s="13" t="s">
        <v>16</v>
      </c>
    </row>
    <row r="27" ht="15">
      <c r="A27" s="14" t="s">
        <v>17</v>
      </c>
    </row>
    <row r="28" spans="1:5" ht="15">
      <c r="A28" s="5" t="s">
        <v>18</v>
      </c>
      <c r="B28" s="5" t="s">
        <v>4</v>
      </c>
      <c r="C28" s="12" t="s">
        <v>5</v>
      </c>
      <c r="D28" s="12" t="s">
        <v>6</v>
      </c>
      <c r="E28" s="12" t="s">
        <v>7</v>
      </c>
    </row>
    <row r="29" spans="1:5" ht="15">
      <c r="A29" s="5" t="s">
        <v>22</v>
      </c>
      <c r="B29" s="5" t="s">
        <v>121</v>
      </c>
      <c r="C29" s="7">
        <f>100*1</f>
        <v>100</v>
      </c>
      <c r="D29" s="7">
        <v>0</v>
      </c>
      <c r="E29" s="7">
        <f aca="true" t="shared" si="0" ref="E29:E34">SUM(C29:D29)</f>
        <v>100</v>
      </c>
    </row>
    <row r="30" spans="1:5" ht="15">
      <c r="A30" s="14" t="s">
        <v>57</v>
      </c>
      <c r="C30" s="7"/>
      <c r="D30" s="7">
        <v>0</v>
      </c>
      <c r="E30" s="7">
        <f t="shared" si="0"/>
        <v>0</v>
      </c>
    </row>
    <row r="31" spans="1:5" ht="15">
      <c r="A31" s="5" t="s">
        <v>24</v>
      </c>
      <c r="B31" s="5" t="s">
        <v>63</v>
      </c>
      <c r="C31" s="7">
        <f>5*12</f>
        <v>60</v>
      </c>
      <c r="D31" s="7">
        <v>0</v>
      </c>
      <c r="E31" s="7">
        <f t="shared" si="0"/>
        <v>60</v>
      </c>
    </row>
    <row r="32" spans="1:5" ht="15">
      <c r="A32" s="5" t="s">
        <v>25</v>
      </c>
      <c r="B32" s="5" t="s">
        <v>63</v>
      </c>
      <c r="C32" s="7">
        <f>5*12</f>
        <v>60</v>
      </c>
      <c r="D32" s="7">
        <v>0</v>
      </c>
      <c r="E32" s="7">
        <f t="shared" si="0"/>
        <v>60</v>
      </c>
    </row>
    <row r="33" spans="1:5" ht="15">
      <c r="A33" s="5" t="s">
        <v>27</v>
      </c>
      <c r="B33" s="5" t="s">
        <v>26</v>
      </c>
      <c r="C33" s="7">
        <f>10*12</f>
        <v>120</v>
      </c>
      <c r="D33" s="7">
        <v>0</v>
      </c>
      <c r="E33" s="7">
        <f t="shared" si="0"/>
        <v>120</v>
      </c>
    </row>
    <row r="34" spans="1:5" ht="15">
      <c r="A34" s="5" t="s">
        <v>28</v>
      </c>
      <c r="B34" s="5" t="s">
        <v>26</v>
      </c>
      <c r="C34" s="7">
        <f>10*12</f>
        <v>120</v>
      </c>
      <c r="D34" s="7">
        <v>0</v>
      </c>
      <c r="E34" s="7">
        <f t="shared" si="0"/>
        <v>120</v>
      </c>
    </row>
    <row r="36" spans="1:5" ht="15">
      <c r="A36" s="5" t="s">
        <v>9</v>
      </c>
      <c r="C36" s="7">
        <f>SUM(C29:C35)</f>
        <v>460</v>
      </c>
      <c r="D36" s="7">
        <f>SUM(D29:D35)</f>
        <v>0</v>
      </c>
      <c r="E36" s="7">
        <f>SUM(E29:E35)</f>
        <v>460</v>
      </c>
    </row>
    <row r="37" spans="3:5" ht="15">
      <c r="C37" s="7"/>
      <c r="D37" s="7"/>
      <c r="E37" s="7"/>
    </row>
    <row r="38" spans="1:5" ht="15">
      <c r="A38" s="14" t="s">
        <v>99</v>
      </c>
      <c r="C38" s="7"/>
      <c r="D38" s="7"/>
      <c r="E38" s="7"/>
    </row>
    <row r="40" ht="15">
      <c r="A40" s="14" t="s">
        <v>32</v>
      </c>
    </row>
    <row r="41" spans="1:5" ht="15">
      <c r="A41" s="5" t="s">
        <v>98</v>
      </c>
      <c r="B41" s="5" t="s">
        <v>4</v>
      </c>
      <c r="C41" s="12" t="s">
        <v>5</v>
      </c>
      <c r="D41" s="12" t="s">
        <v>6</v>
      </c>
      <c r="E41" s="12" t="s">
        <v>7</v>
      </c>
    </row>
    <row r="42" spans="1:5" ht="15">
      <c r="A42" s="5" t="s">
        <v>102</v>
      </c>
      <c r="B42" s="5" t="s">
        <v>124</v>
      </c>
      <c r="C42" s="7">
        <f>700*0.445+(80*46)</f>
        <v>3991.5</v>
      </c>
      <c r="D42" s="7">
        <v>0</v>
      </c>
      <c r="E42" s="7">
        <f>SUM(C42:D42)</f>
        <v>3991.5</v>
      </c>
    </row>
    <row r="43" spans="1:5" ht="30">
      <c r="A43" s="5" t="s">
        <v>103</v>
      </c>
      <c r="B43" s="5" t="s">
        <v>117</v>
      </c>
      <c r="C43" s="7">
        <f>75*0.445</f>
        <v>33.375</v>
      </c>
      <c r="D43" s="7">
        <f>40*20</f>
        <v>800</v>
      </c>
      <c r="E43" s="7">
        <f>SUM(C43:D43)</f>
        <v>833.375</v>
      </c>
    </row>
    <row r="44" spans="1:5" ht="45">
      <c r="A44" s="5" t="s">
        <v>104</v>
      </c>
      <c r="B44" s="5" t="s">
        <v>133</v>
      </c>
      <c r="C44" s="7">
        <f>112*45</f>
        <v>5040</v>
      </c>
      <c r="D44" s="7">
        <f>491*3</f>
        <v>1473</v>
      </c>
      <c r="E44" s="7">
        <f>SUM(C44:D44)</f>
        <v>6513</v>
      </c>
    </row>
    <row r="45" spans="1:5" ht="30">
      <c r="A45" s="5" t="s">
        <v>111</v>
      </c>
      <c r="B45" s="5" t="s">
        <v>123</v>
      </c>
      <c r="C45" s="7">
        <f>300*240</f>
        <v>72000</v>
      </c>
      <c r="D45" s="7">
        <v>0</v>
      </c>
      <c r="E45" s="7">
        <f>SUM(C45:D45)</f>
        <v>72000</v>
      </c>
    </row>
    <row r="46" spans="3:5" ht="15">
      <c r="C46" s="7"/>
      <c r="D46" s="7"/>
      <c r="E46" s="7"/>
    </row>
    <row r="47" spans="1:5" ht="15">
      <c r="A47" s="5" t="s">
        <v>9</v>
      </c>
      <c r="C47" s="7">
        <f>SUM(C42:C45)</f>
        <v>81064.875</v>
      </c>
      <c r="D47" s="7">
        <f>SUM(D42:D45)</f>
        <v>2273</v>
      </c>
      <c r="E47" s="7">
        <f>SUM(E42:E45)</f>
        <v>83337.875</v>
      </c>
    </row>
    <row r="48" ht="15">
      <c r="A48" s="14"/>
    </row>
    <row r="49" ht="15">
      <c r="A49" s="14"/>
    </row>
    <row r="50" ht="15">
      <c r="A50" s="14"/>
    </row>
    <row r="52" spans="1:9" ht="15">
      <c r="A52" s="5" t="s">
        <v>46</v>
      </c>
      <c r="C52" s="7">
        <f>SUM(C47,C36,C23,C14,C7)</f>
        <v>107759.155</v>
      </c>
      <c r="D52" s="7">
        <f>SUM(D47,D36,D23,D14,D7)</f>
        <v>2273</v>
      </c>
      <c r="E52" s="7">
        <f>SUM(E47,E36,E23,E14,E7)</f>
        <v>110032.155</v>
      </c>
      <c r="H52" s="2"/>
      <c r="I52" s="2"/>
    </row>
    <row r="54" ht="15">
      <c r="A54" s="14" t="s">
        <v>33</v>
      </c>
    </row>
    <row r="55" spans="1:5" ht="15">
      <c r="A55" s="5" t="s">
        <v>45</v>
      </c>
      <c r="B55" s="5" t="s">
        <v>4</v>
      </c>
      <c r="C55" s="12" t="s">
        <v>5</v>
      </c>
      <c r="D55" s="12" t="s">
        <v>6</v>
      </c>
      <c r="E55" s="12" t="s">
        <v>7</v>
      </c>
    </row>
    <row r="56" spans="1:5" ht="15">
      <c r="A56" s="10" t="s">
        <v>43</v>
      </c>
      <c r="B56" s="12" t="s">
        <v>56</v>
      </c>
      <c r="C56" s="7">
        <f>0.1111*C52</f>
        <v>11972.0421205</v>
      </c>
      <c r="D56" s="17" t="s">
        <v>34</v>
      </c>
      <c r="E56" s="7">
        <f>C56</f>
        <v>11972.0421205</v>
      </c>
    </row>
    <row r="57" spans="1:7" ht="15">
      <c r="A57" s="5" t="s">
        <v>42</v>
      </c>
      <c r="B57" s="12" t="s">
        <v>138</v>
      </c>
      <c r="C57" s="17" t="s">
        <v>35</v>
      </c>
      <c r="D57" s="7">
        <f>(C61*0.2/0.8)-D52</f>
        <v>27659.799280125</v>
      </c>
      <c r="E57" s="7">
        <f>D57</f>
        <v>27659.799280125</v>
      </c>
      <c r="G57" s="1">
        <f>D57/C52</f>
        <v>0.2566816645891943</v>
      </c>
    </row>
    <row r="58" spans="1:8" ht="15">
      <c r="A58" s="5" t="s">
        <v>36</v>
      </c>
      <c r="C58" s="7">
        <f>C56</f>
        <v>11972.0421205</v>
      </c>
      <c r="D58" s="7">
        <f>D57</f>
        <v>27659.799280125</v>
      </c>
      <c r="E58" s="7">
        <f>SUM(E56:E57)</f>
        <v>39631.841400625</v>
      </c>
      <c r="G58">
        <f>D57/E61</f>
        <v>0.1848126466306862</v>
      </c>
      <c r="H58" s="2"/>
    </row>
    <row r="59" spans="3:5" ht="15">
      <c r="C59" s="7"/>
      <c r="D59" s="7"/>
      <c r="E59" s="7"/>
    </row>
    <row r="60" spans="1:5" ht="15">
      <c r="A60" s="5" t="s">
        <v>94</v>
      </c>
      <c r="C60" s="12" t="s">
        <v>5</v>
      </c>
      <c r="D60" s="12" t="s">
        <v>6</v>
      </c>
      <c r="E60" s="12" t="s">
        <v>7</v>
      </c>
    </row>
    <row r="61" spans="3:5" ht="15">
      <c r="C61" s="7">
        <f>SUM(C56,C52)</f>
        <v>119731.1971205</v>
      </c>
      <c r="D61" s="7">
        <f>SUM(D58,D52)</f>
        <v>29932.799280125</v>
      </c>
      <c r="E61" s="7">
        <f>SUM(E58,E52)</f>
        <v>149663.996400625</v>
      </c>
    </row>
    <row r="63" ht="15">
      <c r="D63" s="12">
        <f>D61/E61</f>
        <v>0.19999999999999998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43">
      <selection activeCell="F58" sqref="F58"/>
    </sheetView>
  </sheetViews>
  <sheetFormatPr defaultColWidth="9.140625" defaultRowHeight="15"/>
  <cols>
    <col min="1" max="1" width="42.28125" style="12" customWidth="1"/>
    <col min="2" max="2" width="31.28125" style="12" customWidth="1"/>
    <col min="3" max="3" width="13.421875" style="19" customWidth="1"/>
    <col min="4" max="4" width="12.140625" style="19" customWidth="1"/>
    <col min="5" max="5" width="15.8515625" style="19" customWidth="1"/>
    <col min="6" max="6" width="39.421875" style="0" customWidth="1"/>
    <col min="7" max="7" width="12.57421875" style="0" bestFit="1" customWidth="1"/>
    <col min="8" max="8" width="11.57421875" style="0" customWidth="1"/>
    <col min="9" max="9" width="10.7109375" style="0" customWidth="1"/>
    <col min="10" max="10" width="13.140625" style="0" customWidth="1"/>
  </cols>
  <sheetData>
    <row r="1" spans="1:2" ht="15">
      <c r="A1" s="12" t="s">
        <v>7</v>
      </c>
      <c r="B1" s="12" t="s">
        <v>93</v>
      </c>
    </row>
    <row r="2" ht="15">
      <c r="A2" s="13" t="s">
        <v>2</v>
      </c>
    </row>
    <row r="3" spans="1:5" ht="15">
      <c r="A3" s="12" t="s">
        <v>3</v>
      </c>
      <c r="B3" s="12" t="s">
        <v>4</v>
      </c>
      <c r="C3" s="19" t="s">
        <v>5</v>
      </c>
      <c r="D3" s="19" t="s">
        <v>6</v>
      </c>
      <c r="E3" s="19" t="s">
        <v>7</v>
      </c>
    </row>
    <row r="4" spans="1:6" ht="33" customHeight="1">
      <c r="A4" s="5" t="s">
        <v>77</v>
      </c>
      <c r="B4" s="5" t="s">
        <v>85</v>
      </c>
      <c r="C4" s="19">
        <f>'CFRP YR 1'!C4+'CFRP YR 2'!C4+'CFRP YR 3'!C4</f>
        <v>60000</v>
      </c>
      <c r="D4" s="19">
        <v>0</v>
      </c>
      <c r="E4" s="19">
        <f>SUM(C4:D4)</f>
        <v>60000</v>
      </c>
      <c r="F4" s="2"/>
    </row>
    <row r="5" spans="1:6" ht="17.25" customHeight="1">
      <c r="A5" s="5" t="s">
        <v>68</v>
      </c>
      <c r="B5" s="5" t="s">
        <v>130</v>
      </c>
      <c r="C5" s="19">
        <f>'CFRP YR 1'!C5+'CFRP YR 3'!C5</f>
        <v>5400</v>
      </c>
      <c r="D5" s="19">
        <v>0</v>
      </c>
      <c r="E5" s="19">
        <f>SUM(C5:D5)</f>
        <v>5400</v>
      </c>
      <c r="F5" s="2"/>
    </row>
    <row r="6" spans="1:6" ht="17.25" customHeight="1">
      <c r="A6" s="5"/>
      <c r="B6" s="5"/>
      <c r="F6" s="2"/>
    </row>
    <row r="7" spans="1:8" ht="15">
      <c r="A7" s="12" t="s">
        <v>9</v>
      </c>
      <c r="C7" s="19">
        <f>'CFRP YR 1'!C7+'CFRP YR 2'!C6+'CFRP YR 3'!C7</f>
        <v>65400</v>
      </c>
      <c r="D7" s="19">
        <f>SUM(D4:D5)</f>
        <v>0</v>
      </c>
      <c r="E7" s="19">
        <f>SUM(E4:E5)</f>
        <v>65400</v>
      </c>
      <c r="F7" s="2"/>
      <c r="G7" s="2"/>
      <c r="H7" s="2"/>
    </row>
    <row r="8" ht="15">
      <c r="H8" s="2"/>
    </row>
    <row r="9" spans="1:8" ht="15">
      <c r="A9" s="13" t="s">
        <v>10</v>
      </c>
      <c r="H9" s="2"/>
    </row>
    <row r="10" spans="1:8" ht="15">
      <c r="A10" s="12" t="s">
        <v>3</v>
      </c>
      <c r="B10" s="12" t="s">
        <v>4</v>
      </c>
      <c r="C10" s="19" t="s">
        <v>5</v>
      </c>
      <c r="D10" s="19" t="s">
        <v>6</v>
      </c>
      <c r="E10" s="19" t="s">
        <v>7</v>
      </c>
      <c r="H10" s="2"/>
    </row>
    <row r="11" spans="1:8" ht="15">
      <c r="A11" s="5" t="s">
        <v>77</v>
      </c>
      <c r="B11" s="5" t="s">
        <v>86</v>
      </c>
      <c r="C11" s="19">
        <f>'CFRP YR 1'!C11+'CFRP YR 2'!C10+'CFRP YR 3'!C11</f>
        <v>18720</v>
      </c>
      <c r="D11" s="19">
        <v>0</v>
      </c>
      <c r="E11" s="19">
        <f>SUM(C11:D11)</f>
        <v>18720</v>
      </c>
      <c r="F11" s="2"/>
      <c r="G11" s="2"/>
      <c r="H11" s="2"/>
    </row>
    <row r="12" spans="1:8" ht="15">
      <c r="A12" s="5" t="s">
        <v>68</v>
      </c>
      <c r="B12" s="5" t="s">
        <v>131</v>
      </c>
      <c r="C12" s="19">
        <f>'CFRP YR 1'!C12+'CFRP YR 3'!C12</f>
        <v>648</v>
      </c>
      <c r="D12" s="19">
        <v>0</v>
      </c>
      <c r="E12" s="19">
        <f>SUM(C12:D12)</f>
        <v>648</v>
      </c>
      <c r="F12" s="2"/>
      <c r="G12" s="2"/>
      <c r="H12" s="2"/>
    </row>
    <row r="13" spans="1:8" ht="15">
      <c r="A13" s="5"/>
      <c r="B13" s="5"/>
      <c r="F13" s="2"/>
      <c r="H13" s="2"/>
    </row>
    <row r="14" spans="1:8" ht="15">
      <c r="A14" s="12" t="s">
        <v>9</v>
      </c>
      <c r="C14" s="20">
        <f>'CFRP YR 1'!C14+'CFRP YR 2'!C12+'CFRP YR 3'!C14</f>
        <v>19368</v>
      </c>
      <c r="D14" s="19">
        <f>SUM(D11:D12)</f>
        <v>0</v>
      </c>
      <c r="E14" s="19">
        <f>SUM(E11:E12)</f>
        <v>19368</v>
      </c>
      <c r="F14" s="2"/>
      <c r="G14" s="2"/>
      <c r="H14" s="2"/>
    </row>
    <row r="15" ht="15">
      <c r="H15" s="2"/>
    </row>
    <row r="16" spans="1:8" ht="15">
      <c r="A16" s="13" t="s">
        <v>11</v>
      </c>
      <c r="H16" s="2"/>
    </row>
    <row r="17" spans="1:8" ht="15">
      <c r="A17" s="12" t="s">
        <v>12</v>
      </c>
      <c r="B17" s="12" t="s">
        <v>4</v>
      </c>
      <c r="C17" s="19" t="s">
        <v>5</v>
      </c>
      <c r="D17" s="19" t="s">
        <v>6</v>
      </c>
      <c r="E17" s="19" t="s">
        <v>7</v>
      </c>
      <c r="H17" s="2"/>
    </row>
    <row r="18" spans="1:8" ht="30" customHeight="1">
      <c r="A18" s="5" t="s">
        <v>39</v>
      </c>
      <c r="B18" s="5" t="s">
        <v>108</v>
      </c>
      <c r="C18" s="20">
        <f>'CFRP YR 1'!C18+'CFRP YR 2'!C16+'CFRP YR 3'!C18</f>
        <v>1250</v>
      </c>
      <c r="D18" s="19">
        <v>0</v>
      </c>
      <c r="E18" s="19">
        <f>SUM(C18:D18)</f>
        <v>1250</v>
      </c>
      <c r="F18" s="2"/>
      <c r="G18" s="2"/>
      <c r="H18" s="2"/>
    </row>
    <row r="19" spans="1:8" ht="78.75" customHeight="1">
      <c r="A19" s="5" t="s">
        <v>13</v>
      </c>
      <c r="B19" s="5" t="s">
        <v>120</v>
      </c>
      <c r="C19" s="20">
        <f>'CFRP YR 1'!C19+'CFRP YR 2'!C17+'CFRP YR 3'!C19</f>
        <v>3994.1049999999996</v>
      </c>
      <c r="D19" s="19">
        <v>0</v>
      </c>
      <c r="E19" s="19">
        <f>SUM(C19:D19)</f>
        <v>3994.1049999999996</v>
      </c>
      <c r="F19" s="2"/>
      <c r="G19" s="2"/>
      <c r="H19" s="2"/>
    </row>
    <row r="20" spans="1:8" ht="47.25" customHeight="1">
      <c r="A20" s="5" t="s">
        <v>14</v>
      </c>
      <c r="B20" s="5" t="s">
        <v>97</v>
      </c>
      <c r="C20" s="20">
        <f>'CFRP YR 1'!C20+'CFRP YR 2'!C18+'CFRP YR 3'!C20</f>
        <v>2640</v>
      </c>
      <c r="D20" s="19">
        <v>0</v>
      </c>
      <c r="E20" s="19">
        <f>SUM(C20:D20)</f>
        <v>2640</v>
      </c>
      <c r="F20" s="2"/>
      <c r="G20" s="2"/>
      <c r="H20" s="2"/>
    </row>
    <row r="21" spans="1:8" ht="33" customHeight="1">
      <c r="A21" s="5" t="s">
        <v>30</v>
      </c>
      <c r="B21" s="5" t="s">
        <v>109</v>
      </c>
      <c r="C21" s="20">
        <f>'CFRP YR 1'!C21+'CFRP YR 3'!C21</f>
        <v>2240</v>
      </c>
      <c r="D21" s="19">
        <v>0</v>
      </c>
      <c r="E21" s="19">
        <f>SUM(C21:D21)</f>
        <v>2240</v>
      </c>
      <c r="F21" s="2"/>
      <c r="G21" s="2"/>
      <c r="H21" s="2"/>
    </row>
    <row r="22" spans="1:8" ht="16.5" customHeight="1">
      <c r="A22" s="5"/>
      <c r="B22" s="5"/>
      <c r="C22" s="20"/>
      <c r="F22" s="2"/>
      <c r="G22" s="2"/>
      <c r="H22" s="2"/>
    </row>
    <row r="23" spans="1:8" ht="15">
      <c r="A23" s="5" t="s">
        <v>9</v>
      </c>
      <c r="C23" s="20">
        <f>'CFRP YR 1'!C23+'CFRP YR 2'!C20+'CFRP YR 3'!C23</f>
        <v>10124.105</v>
      </c>
      <c r="D23" s="19">
        <f>SUM(D18:D21)</f>
        <v>0</v>
      </c>
      <c r="E23" s="19">
        <f>SUM(C23:D23)</f>
        <v>10124.105</v>
      </c>
      <c r="F23" s="2"/>
      <c r="G23" s="2"/>
      <c r="H23" s="2"/>
    </row>
    <row r="24" ht="15">
      <c r="H24" s="2"/>
    </row>
    <row r="25" ht="15">
      <c r="H25" s="2"/>
    </row>
    <row r="26" spans="1:8" ht="15">
      <c r="A26" s="13" t="s">
        <v>15</v>
      </c>
      <c r="B26" s="13" t="s">
        <v>16</v>
      </c>
      <c r="H26" s="2"/>
    </row>
    <row r="27" ht="15">
      <c r="H27" s="2"/>
    </row>
    <row r="28" spans="1:8" ht="15">
      <c r="A28" s="13" t="s">
        <v>17</v>
      </c>
      <c r="H28" s="2"/>
    </row>
    <row r="29" spans="1:8" ht="15">
      <c r="A29" s="12" t="s">
        <v>18</v>
      </c>
      <c r="B29" s="12" t="s">
        <v>4</v>
      </c>
      <c r="C29" s="19" t="s">
        <v>5</v>
      </c>
      <c r="D29" s="19" t="s">
        <v>6</v>
      </c>
      <c r="E29" s="19" t="s">
        <v>7</v>
      </c>
      <c r="H29" s="2"/>
    </row>
    <row r="30" spans="1:8" ht="15.75" customHeight="1">
      <c r="A30" s="14" t="s">
        <v>40</v>
      </c>
      <c r="B30" s="12" t="s">
        <v>96</v>
      </c>
      <c r="C30" s="19">
        <f>SUM('CFRP YR 1'!C30:C30)</f>
        <v>200</v>
      </c>
      <c r="D30" s="19">
        <v>0</v>
      </c>
      <c r="E30" s="19">
        <f>SUM(C30:D30)</f>
        <v>200</v>
      </c>
      <c r="F30" s="2"/>
      <c r="H30" s="2"/>
    </row>
    <row r="31" spans="1:8" ht="15">
      <c r="A31" s="14" t="s">
        <v>21</v>
      </c>
      <c r="B31" s="12" t="s">
        <v>96</v>
      </c>
      <c r="C31" s="19">
        <f>'CFRP YR 2'!C26+'CFRP YR 3'!C29</f>
        <v>400</v>
      </c>
      <c r="D31" s="19">
        <v>0</v>
      </c>
      <c r="E31" s="19">
        <f>SUM(C31:D31)</f>
        <v>400</v>
      </c>
      <c r="F31" s="2"/>
      <c r="H31" s="2"/>
    </row>
    <row r="32" spans="1:8" ht="15">
      <c r="A32" s="13" t="s">
        <v>58</v>
      </c>
      <c r="B32" s="12" t="s">
        <v>96</v>
      </c>
      <c r="C32" s="19">
        <f>SUM('CFRP YR 1'!C32:C36)+SUM('CFRP YR 2'!C28:C32)+SUM('CFRP YR 3'!C31:C34)</f>
        <v>1180</v>
      </c>
      <c r="D32" s="19">
        <v>0</v>
      </c>
      <c r="E32" s="19">
        <f>SUM(C32:D32)</f>
        <v>1180</v>
      </c>
      <c r="F32" s="2"/>
      <c r="H32" s="2"/>
    </row>
    <row r="33" spans="1:8" ht="15">
      <c r="A33" s="14" t="s">
        <v>9</v>
      </c>
      <c r="C33" s="19">
        <f>'CFRP YR 1'!C38+'CFRP YR 2'!C34+'CFRP YR 3'!C36</f>
        <v>1780</v>
      </c>
      <c r="D33" s="19">
        <f>SUM(D30:D32)</f>
        <v>0</v>
      </c>
      <c r="E33" s="19">
        <f>SUM(E30:E32)</f>
        <v>1780</v>
      </c>
      <c r="F33" s="2"/>
      <c r="G33" s="2"/>
      <c r="H33" s="2"/>
    </row>
    <row r="34" ht="15">
      <c r="H34" s="2"/>
    </row>
    <row r="35" spans="1:8" ht="15">
      <c r="A35" s="13" t="s">
        <v>99</v>
      </c>
      <c r="H35" s="2"/>
    </row>
    <row r="36" spans="6:9" ht="15">
      <c r="F36" s="2"/>
      <c r="G36" s="2"/>
      <c r="H36" s="2"/>
      <c r="I36" s="8"/>
    </row>
    <row r="37" spans="1:8" ht="15">
      <c r="A37" s="13" t="s">
        <v>32</v>
      </c>
      <c r="H37" s="2"/>
    </row>
    <row r="38" spans="1:8" ht="15">
      <c r="A38" s="12" t="s">
        <v>98</v>
      </c>
      <c r="B38" s="12" t="s">
        <v>4</v>
      </c>
      <c r="C38" s="19" t="s">
        <v>5</v>
      </c>
      <c r="D38" s="19" t="s">
        <v>6</v>
      </c>
      <c r="E38" s="19" t="s">
        <v>7</v>
      </c>
      <c r="H38" s="2"/>
    </row>
    <row r="39" spans="1:8" ht="33.75" customHeight="1">
      <c r="A39" s="5" t="s">
        <v>102</v>
      </c>
      <c r="B39" s="5" t="s">
        <v>126</v>
      </c>
      <c r="C39" s="19">
        <f>'CFRP YR 1'!C44+'CFRP YR 3'!C42+'CFRP YR 2'!C40</f>
        <v>7854.15</v>
      </c>
      <c r="D39" s="19">
        <v>0</v>
      </c>
      <c r="E39" s="19">
        <f>SUM(C39:D39)</f>
        <v>7854.15</v>
      </c>
      <c r="H39" s="2"/>
    </row>
    <row r="40" spans="1:8" ht="45">
      <c r="A40" s="5" t="s">
        <v>103</v>
      </c>
      <c r="B40" s="5" t="s">
        <v>114</v>
      </c>
      <c r="C40" s="19">
        <f>'CFRP YR 1'!C45+'CFRP YR 2'!C41+'CFRP YR 3'!C43</f>
        <v>566.75</v>
      </c>
      <c r="D40" s="19">
        <f>'CFRP YR 1'!D45+'CFRP YR 2'!D41+'CFRP YR 3'!D43</f>
        <v>2400</v>
      </c>
      <c r="E40" s="19">
        <f>SUM(C40:D40)</f>
        <v>2966.75</v>
      </c>
      <c r="H40" s="2"/>
    </row>
    <row r="41" spans="1:8" ht="45">
      <c r="A41" s="5" t="s">
        <v>104</v>
      </c>
      <c r="B41" s="5" t="s">
        <v>132</v>
      </c>
      <c r="C41" s="19">
        <f>'CFRP YR 1'!C46+'CFRP YR 2'!C42+'CFRP YR 3'!C44</f>
        <v>19080</v>
      </c>
      <c r="D41" s="19">
        <f>'CFRP YR 1'!D46+'CFRP YR 3'!D44</f>
        <v>2946</v>
      </c>
      <c r="E41" s="19">
        <f>SUM(C41:D41)</f>
        <v>22026</v>
      </c>
      <c r="H41" s="2"/>
    </row>
    <row r="42" spans="1:8" ht="15">
      <c r="A42" s="5" t="s">
        <v>111</v>
      </c>
      <c r="B42" s="5" t="s">
        <v>125</v>
      </c>
      <c r="C42" s="19">
        <f>'CFRP YR 1'!C47+'CFRP YR 2'!C43+'CFRP YR 3'!C45</f>
        <v>165000</v>
      </c>
      <c r="D42" s="19">
        <v>0</v>
      </c>
      <c r="E42" s="19">
        <f>SUM(C42:D42)</f>
        <v>165000</v>
      </c>
      <c r="H42" s="2"/>
    </row>
    <row r="43" spans="1:8" ht="15">
      <c r="A43" s="5" t="s">
        <v>118</v>
      </c>
      <c r="B43" s="5" t="s">
        <v>76</v>
      </c>
      <c r="C43" s="19">
        <f>'CFRP YR 2'!C44</f>
        <v>34375</v>
      </c>
      <c r="D43" s="19">
        <v>0</v>
      </c>
      <c r="E43" s="19">
        <f>SUM(C43:D43)</f>
        <v>34375</v>
      </c>
      <c r="H43" s="2"/>
    </row>
    <row r="44" spans="1:8" ht="15">
      <c r="A44" s="5"/>
      <c r="B44" s="5"/>
      <c r="H44" s="2"/>
    </row>
    <row r="45" spans="1:8" ht="15">
      <c r="A45" s="5" t="s">
        <v>9</v>
      </c>
      <c r="C45" s="20">
        <f>'CFRP YR 1'!C49+'CFRP YR 2'!C46+'CFRP YR 3'!C47</f>
        <v>226875.9</v>
      </c>
      <c r="D45" s="20">
        <f>'CFRP YR 1'!D49+'CFRP YR 2'!D46+'CFRP YR 3'!D47</f>
        <v>5346</v>
      </c>
      <c r="E45" s="19">
        <f>SUM(E39:E44)</f>
        <v>232221.9</v>
      </c>
      <c r="H45" s="2"/>
    </row>
    <row r="46" spans="1:8" ht="15">
      <c r="A46" s="13"/>
      <c r="H46" s="2"/>
    </row>
    <row r="47" spans="3:8" ht="15">
      <c r="C47" s="19" t="s">
        <v>5</v>
      </c>
      <c r="D47" s="19" t="s">
        <v>6</v>
      </c>
      <c r="E47" s="19" t="s">
        <v>7</v>
      </c>
      <c r="H47" s="2"/>
    </row>
    <row r="48" spans="1:9" ht="15">
      <c r="A48" s="5" t="s">
        <v>46</v>
      </c>
      <c r="C48" s="20">
        <f>'CFRP YR 1'!C51+'CFRP YR 2'!C49+'CFRP YR 3'!C52</f>
        <v>323548.005</v>
      </c>
      <c r="D48" s="20">
        <f>'CFRP YR 1'!D51+'CFRP YR 2'!D49+'CFRP YR 3'!D52</f>
        <v>5346</v>
      </c>
      <c r="E48" s="19">
        <f>SUM(E45,E33,E23,E14,E7)</f>
        <v>328894.005</v>
      </c>
      <c r="F48" s="3"/>
      <c r="G48" s="3"/>
      <c r="H48" s="2"/>
      <c r="I48" s="9"/>
    </row>
    <row r="50" ht="15">
      <c r="A50" s="13" t="s">
        <v>33</v>
      </c>
    </row>
    <row r="51" spans="1:5" ht="15">
      <c r="A51" s="12" t="s">
        <v>45</v>
      </c>
      <c r="B51" s="12" t="s">
        <v>4</v>
      </c>
      <c r="C51" s="19" t="s">
        <v>5</v>
      </c>
      <c r="D51" s="19" t="s">
        <v>6</v>
      </c>
      <c r="E51" s="19" t="s">
        <v>7</v>
      </c>
    </row>
    <row r="52" spans="1:7" ht="33" customHeight="1">
      <c r="A52" s="10" t="s">
        <v>44</v>
      </c>
      <c r="B52" s="5" t="s">
        <v>92</v>
      </c>
      <c r="C52" s="20">
        <f>'CFRP YR 1'!C55+'CFRP YR 2'!C53+'CFRP YR 3'!C56</f>
        <v>35946.1833555</v>
      </c>
      <c r="D52" s="21" t="s">
        <v>41</v>
      </c>
      <c r="E52" s="20">
        <f>'CFRP YR 1'!E55+'CFRP YR 2'!E53+'CFRP YR 3'!E56</f>
        <v>35946.1833555</v>
      </c>
      <c r="F52" s="15" t="s">
        <v>89</v>
      </c>
      <c r="G52" s="3"/>
    </row>
    <row r="53" spans="1:10" ht="33" customHeight="1">
      <c r="A53" s="5" t="s">
        <v>42</v>
      </c>
      <c r="B53" s="5" t="s">
        <v>101</v>
      </c>
      <c r="C53" s="22" t="s">
        <v>88</v>
      </c>
      <c r="D53" s="20">
        <f>'CFRP YR 1'!D56+'CFRP YR 2'!D54+'CFRP YR 3'!D57</f>
        <v>84527.547088875</v>
      </c>
      <c r="E53" s="20">
        <f>'CFRP YR 1'!E56+'CFRP YR 2'!E54+'CFRP YR 3'!E57</f>
        <v>84527.547088875</v>
      </c>
      <c r="F53" s="16">
        <f>E53/C48</f>
        <v>0.26125194957970765</v>
      </c>
      <c r="I53" s="9"/>
      <c r="J53" s="9"/>
    </row>
    <row r="54" spans="1:10" ht="15">
      <c r="A54" s="12" t="s">
        <v>36</v>
      </c>
      <c r="C54" s="20">
        <f>'CFRP YR 1'!C57+'CFRP YR 2'!C55+'CFRP YR 3'!C58</f>
        <v>35946.1833555</v>
      </c>
      <c r="D54" s="20">
        <f>'CFRP YR 1'!D57+'CFRP YR 2'!D55+'CFRP YR 3'!D58</f>
        <v>84527.547088875</v>
      </c>
      <c r="E54" s="20">
        <f>'CFRP YR 1'!E57+'CFRP YR 2'!E55+'CFRP YR 3'!E58</f>
        <v>120473.73044437499</v>
      </c>
      <c r="F54" s="6"/>
      <c r="G54" s="3"/>
      <c r="I54" s="9"/>
      <c r="J54" s="9"/>
    </row>
    <row r="56" spans="3:5" ht="15">
      <c r="C56" s="19" t="s">
        <v>5</v>
      </c>
      <c r="D56" s="19" t="s">
        <v>6</v>
      </c>
      <c r="E56" s="19" t="s">
        <v>7</v>
      </c>
    </row>
    <row r="57" spans="1:10" ht="15">
      <c r="A57" s="13" t="s">
        <v>38</v>
      </c>
      <c r="C57" s="20">
        <f>'CFRP YR 1'!C60+'CFRP YR 2'!C58+'CFRP YR 3'!C61</f>
        <v>359494.1883555</v>
      </c>
      <c r="D57" s="20">
        <f>'CFRP YR 1'!D60+'CFRP YR 2'!D58+'CFRP YR 3'!D61</f>
        <v>89873.547088875</v>
      </c>
      <c r="E57" s="20">
        <f>'CFRP YR 1'!E60+'CFRP YR 2'!E58+'CFRP YR 3'!E61</f>
        <v>449367.73544437496</v>
      </c>
      <c r="F57" s="3"/>
      <c r="G57" s="9"/>
      <c r="I57" s="9"/>
      <c r="J57" s="9"/>
    </row>
    <row r="59" ht="15">
      <c r="D59" s="24">
        <f>D57/E57</f>
        <v>0.2</v>
      </c>
    </row>
    <row r="60" ht="15">
      <c r="D60" s="23" t="s">
        <v>90</v>
      </c>
    </row>
    <row r="61" ht="15">
      <c r="D61" s="23"/>
    </row>
    <row r="62" ht="15">
      <c r="D62" s="23" t="s">
        <v>91</v>
      </c>
    </row>
    <row r="63" ht="15">
      <c r="D63" s="24">
        <f>D53/E57</f>
        <v>0.18810328473023682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3.28125" style="0" customWidth="1"/>
    <col min="2" max="2" width="15.7109375" style="0" customWidth="1"/>
    <col min="3" max="3" width="18.8515625" style="0" customWidth="1"/>
  </cols>
  <sheetData>
    <row r="2" spans="1:3" ht="15">
      <c r="A2" t="s">
        <v>47</v>
      </c>
      <c r="B2" t="s">
        <v>48</v>
      </c>
      <c r="C2" t="s">
        <v>49</v>
      </c>
    </row>
    <row r="3" spans="1:3" ht="15">
      <c r="A3" t="s">
        <v>2</v>
      </c>
      <c r="B3" s="2">
        <f>TOTAL!C7</f>
        <v>65400</v>
      </c>
      <c r="C3" s="11">
        <v>0</v>
      </c>
    </row>
    <row r="4" spans="1:3" ht="15">
      <c r="A4" t="s">
        <v>10</v>
      </c>
      <c r="B4" s="2">
        <f>TOTAL!C14</f>
        <v>19368</v>
      </c>
      <c r="C4" s="11">
        <v>0</v>
      </c>
    </row>
    <row r="5" spans="1:3" ht="15">
      <c r="A5" t="s">
        <v>11</v>
      </c>
      <c r="B5" s="2">
        <f>TOTAL!C23</f>
        <v>10124.105</v>
      </c>
      <c r="C5" s="11">
        <v>0</v>
      </c>
    </row>
    <row r="6" spans="1:3" ht="15">
      <c r="A6" t="s">
        <v>15</v>
      </c>
      <c r="B6" s="2">
        <v>0</v>
      </c>
      <c r="C6" s="11">
        <v>0</v>
      </c>
    </row>
    <row r="7" spans="1:3" ht="15">
      <c r="A7" t="s">
        <v>17</v>
      </c>
      <c r="B7" s="2">
        <f>TOTAL!C33</f>
        <v>1780</v>
      </c>
      <c r="C7" s="11">
        <v>0</v>
      </c>
    </row>
    <row r="8" spans="1:3" ht="15">
      <c r="A8" t="s">
        <v>99</v>
      </c>
      <c r="B8" s="3">
        <v>0</v>
      </c>
      <c r="C8" s="3">
        <v>0</v>
      </c>
    </row>
    <row r="9" spans="1:3" ht="15">
      <c r="A9" t="s">
        <v>100</v>
      </c>
      <c r="B9" s="2">
        <f>TOTAL!C45</f>
        <v>226875.9</v>
      </c>
      <c r="C9" s="11">
        <f>TOTAL!D45</f>
        <v>5346</v>
      </c>
    </row>
    <row r="10" spans="1:3" ht="15">
      <c r="A10" t="s">
        <v>50</v>
      </c>
      <c r="B10" s="2">
        <f>SUM(B3:B9)</f>
        <v>323548.005</v>
      </c>
      <c r="C10" s="2">
        <f>SUM(C3:C9)</f>
        <v>5346</v>
      </c>
    </row>
    <row r="11" spans="1:3" ht="15">
      <c r="A11" t="s">
        <v>51</v>
      </c>
      <c r="B11" s="2">
        <f>TOTAL!C54</f>
        <v>35946.1833555</v>
      </c>
      <c r="C11" s="2">
        <f>TOTAL!D54</f>
        <v>84527.547088875</v>
      </c>
    </row>
    <row r="12" spans="1:3" ht="15">
      <c r="A12" t="s">
        <v>52</v>
      </c>
      <c r="B12" s="2">
        <f>SUM(B10:B11)</f>
        <v>359494.1883555</v>
      </c>
      <c r="C12" s="2">
        <f>SUM(C10:C11)</f>
        <v>89873.547088875</v>
      </c>
    </row>
    <row r="13" spans="2:3" ht="15">
      <c r="B13" s="2"/>
      <c r="C13" s="2"/>
    </row>
    <row r="14" spans="1:3" ht="15">
      <c r="A14" t="s">
        <v>53</v>
      </c>
      <c r="B14" s="2">
        <f>B12</f>
        <v>359494.1883555</v>
      </c>
      <c r="C14" s="2"/>
    </row>
    <row r="15" spans="2:3" ht="15">
      <c r="B15" s="2"/>
      <c r="C15" s="2"/>
    </row>
    <row r="16" spans="1:3" ht="15">
      <c r="A16" t="s">
        <v>54</v>
      </c>
      <c r="B16" s="2">
        <f>C12</f>
        <v>89873.547088875</v>
      </c>
      <c r="C16" s="4">
        <f>B16/B18</f>
        <v>0.2</v>
      </c>
    </row>
    <row r="17" spans="2:3" ht="15">
      <c r="B17" s="2"/>
      <c r="C17" s="2"/>
    </row>
    <row r="18" spans="1:3" ht="15">
      <c r="A18" t="s">
        <v>55</v>
      </c>
      <c r="B18" s="2">
        <f>SUM(B14,B16)</f>
        <v>449367.73544437496</v>
      </c>
      <c r="C1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ellisqm</dc:creator>
  <cp:keywords/>
  <dc:description/>
  <cp:lastModifiedBy>ellisqm</cp:lastModifiedBy>
  <dcterms:created xsi:type="dcterms:W3CDTF">2010-02-16T20:21:26Z</dcterms:created>
  <dcterms:modified xsi:type="dcterms:W3CDTF">2013-02-21T23:17:52Z</dcterms:modified>
  <cp:category/>
  <cp:version/>
  <cp:contentType/>
  <cp:contentStatus/>
</cp:coreProperties>
</file>